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</sheets>
  <definedNames>
    <definedName name="_xlfn.IFERROR" hidden="1">#NAME?</definedName>
    <definedName name="_xlnm.Print_Area" localSheetId="8">'FY 16-17'!$A$1:$M$73</definedName>
    <definedName name="_xlnm.Print_Area" localSheetId="7">'FY 17-18'!$A$1:$M$73</definedName>
    <definedName name="_xlnm.Print_Area" localSheetId="6">'FY 18-19'!$A$1:$M$73</definedName>
    <definedName name="_xlnm.Print_Area" localSheetId="5">'FY 19-20'!$A$1:$K$69</definedName>
    <definedName name="_xlnm.Print_Area" localSheetId="4">'FY 20-21'!$A$1:$K$69</definedName>
    <definedName name="_xlnm.Print_Area" localSheetId="3">'FY 21-22'!$A$1:$K$69</definedName>
    <definedName name="_xlnm.Print_Area" localSheetId="2">'FY 22-23'!$A$1:$K$69</definedName>
    <definedName name="_xlnm.Print_Area" localSheetId="1">'FY 23-24'!$A$1:$K$69</definedName>
    <definedName name="_xlnm.Print_Area" localSheetId="0">'FY 24-25'!$A$1:$K$69</definedName>
  </definedNames>
  <calcPr fullCalcOnLoad="1"/>
</workbook>
</file>

<file path=xl/sharedStrings.xml><?xml version="1.0" encoding="utf-8"?>
<sst xmlns="http://schemas.openxmlformats.org/spreadsheetml/2006/main" count="618" uniqueCount="80">
  <si>
    <t>Distribution of Net Win:</t>
  </si>
  <si>
    <t>Credits</t>
  </si>
  <si>
    <t>Avg Daily</t>
  </si>
  <si>
    <t>Win/VGM</t>
  </si>
  <si>
    <t>Education</t>
  </si>
  <si>
    <t>Marketing</t>
  </si>
  <si>
    <t>Month</t>
  </si>
  <si>
    <t>Played</t>
  </si>
  <si>
    <t>Won</t>
  </si>
  <si>
    <t>Net Win</t>
  </si>
  <si>
    <t>VGM's</t>
  </si>
  <si>
    <t>per Day</t>
  </si>
  <si>
    <t>Contribution</t>
  </si>
  <si>
    <t>Commission</t>
  </si>
  <si>
    <t>Allowance</t>
  </si>
  <si>
    <t>Total</t>
  </si>
  <si>
    <t>Definition of Terms</t>
  </si>
  <si>
    <t>Credits Played:</t>
  </si>
  <si>
    <t>Credits Won:</t>
  </si>
  <si>
    <t>Net Win:</t>
  </si>
  <si>
    <t xml:space="preserve">The net revenues remaining after payout of prizes to players. (Credits Played less Credits Won)  Net win is </t>
  </si>
  <si>
    <t>commonly referred to as "Hold" or "Net Machine Income".</t>
  </si>
  <si>
    <t>Education Contribution:</t>
  </si>
  <si>
    <t>The portion of Net Win allocated to the State Education Fund for direct aid to education.</t>
  </si>
  <si>
    <t>Marketing Allowance:</t>
  </si>
  <si>
    <t>Distribution of Net Win per Legislation</t>
  </si>
  <si>
    <t>Free Play</t>
  </si>
  <si>
    <t>Agent Commission:</t>
  </si>
  <si>
    <t>The portion of Net Win paid to the casino operator as compensation for operating the gaming facility. Most operating expenses</t>
  </si>
  <si>
    <t xml:space="preserve">The portion of the Net Win paid to the casino operator to finance the costs of advertising, marketing and promoting </t>
  </si>
  <si>
    <t>video lottery play at the casino.</t>
  </si>
  <si>
    <t xml:space="preserve">The portion of Net Win used to reimburse gaming floor vendors (central system and game machine providers) and </t>
  </si>
  <si>
    <t>administer the Video Gaming Program (sometimes labeled "Lottery Administration").</t>
  </si>
  <si>
    <t>110-00 Rockaway Blvd.</t>
  </si>
  <si>
    <t>Jamaica, NY  11420</t>
  </si>
  <si>
    <t>www.rwnewyork.com</t>
  </si>
  <si>
    <t>(888) 888-8801</t>
  </si>
  <si>
    <t>Agent</t>
  </si>
  <si>
    <t>Gaming Floor</t>
  </si>
  <si>
    <t>&amp; Admin</t>
  </si>
  <si>
    <t xml:space="preserve">of the gaming facility are paid from the agent commission (including the horse racing subsidies), with the exception of the </t>
  </si>
  <si>
    <t xml:space="preserve">gaming floor itself, which is provided by the other vendors and paid for by the Lottery. </t>
  </si>
  <si>
    <t>Gaming Floor &amp; Admin:</t>
  </si>
  <si>
    <t>The amount of promotional free play included in Credits Played that is subsidized by the State through a reduction to Net Win.</t>
  </si>
  <si>
    <t>Agent Commission</t>
  </si>
  <si>
    <t>Operator</t>
  </si>
  <si>
    <t>Purses</t>
  </si>
  <si>
    <t>Breeders</t>
  </si>
  <si>
    <t>NYRA Cap Ex</t>
  </si>
  <si>
    <t>NYRA Oper</t>
  </si>
  <si>
    <t>The amount of onscreen credits wagered on a video gaming machine (VGM).  This amount includes Credits Played resulting</t>
  </si>
  <si>
    <t>from; (a) cash and vouchers inserted into a VGM, and (b) any Credits Won used to make a wager on a VGM.</t>
  </si>
  <si>
    <t>Free Play Allowance:</t>
  </si>
  <si>
    <t>Source:  New York State Gaming Commission</t>
  </si>
  <si>
    <t>The amount of onscreen credits won on a VGM (prize payout).  Also includes any progressive jackpot liability due to players.</t>
  </si>
  <si>
    <t>Fiscal Year 2016/2017</t>
  </si>
  <si>
    <t>Capital</t>
  </si>
  <si>
    <t>Award</t>
  </si>
  <si>
    <t>Capital Award:</t>
  </si>
  <si>
    <t>The portion of Net Win allocated to the operators of the gaming facility that is restricted for capital project investments</t>
  </si>
  <si>
    <t>Nassau OTB VGMs at Resorts World</t>
  </si>
  <si>
    <t>Pursuant to Tax Law 1617-a(a)(4), Resorts World can designate up to 1,000 VGMs as Nassau OTB VGMs. Effective 10/15/2016, Resorts World designated 460 VGMs</t>
  </si>
  <si>
    <t>Racing support payments made from Nassau OTB VGMs in excess of CY 2013 funding levels shall be returned and remitted to Education funding.</t>
  </si>
  <si>
    <t>Nassau OTB at Resorts World Casino New York City</t>
  </si>
  <si>
    <t>which improve the facilities and promote or encourage increased attendance at the video gaming facility. The Nassau</t>
  </si>
  <si>
    <t>OTB at Resorts World machines are not eligible for Capital Awards.</t>
  </si>
  <si>
    <t>as Nassau OTB VGMs. Actual payments to Nassau OTB are subject to a hosting agreement between Resorts World and Nassau OTB.</t>
  </si>
  <si>
    <t>The above figures are exclusive of Resorts World vgms. See the Resorts World report for additional information.</t>
  </si>
  <si>
    <t>Fiscal Year 2017/2018</t>
  </si>
  <si>
    <t>Fiscal Year 2018/2019</t>
  </si>
  <si>
    <t>Pursuant to Tax Law 1617-a(a)(4), Resorts World can designate up to 1,000 VGMs as Nassau OTB VGMs.</t>
  </si>
  <si>
    <t xml:space="preserve"> Actual payments to Nassau OTB are subject to a hosting agreement between Resorts World and Nassau OTB.</t>
  </si>
  <si>
    <t>Fiscal Year 2019/2020</t>
  </si>
  <si>
    <t xml:space="preserve">Pursuant to the new provisions, agent commission rates are inclusive of marketing funds. </t>
  </si>
  <si>
    <r>
      <t>Effective April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Chapter 59 of the Laws of 2019 repealed and replaced the existing marketing program.</t>
    </r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</si>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</sst>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&quot;$&quot;#,##0.000_);[Red]\(&quot;$&quot;#,##0.000\)"/>
    <numFmt numFmtId="173" formatCode="&quot;$&quot;#,##0.0000_);[Red]\(&quot;$&quot;#,##0.0000\)"/>
    <numFmt numFmtId="174" formatCode="mmm\-yyyy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8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center"/>
    </xf>
    <xf numFmtId="6" fontId="8" fillId="0" borderId="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165" fontId="7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6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5" fontId="7" fillId="0" borderId="0" xfId="61" applyNumberFormat="1" applyFont="1" applyAlignment="1">
      <alignment horizontal="left"/>
      <protection/>
    </xf>
    <xf numFmtId="6" fontId="0" fillId="0" borderId="0" xfId="61" applyNumberFormat="1" applyFont="1">
      <alignment vertical="top"/>
      <protection/>
    </xf>
    <xf numFmtId="6" fontId="1" fillId="0" borderId="0" xfId="61" applyNumberFormat="1">
      <alignment vertical="top"/>
      <protection/>
    </xf>
    <xf numFmtId="38" fontId="0" fillId="0" borderId="0" xfId="61" applyNumberFormat="1" applyFont="1">
      <alignment vertical="top"/>
      <protection/>
    </xf>
    <xf numFmtId="0" fontId="1" fillId="0" borderId="0" xfId="61">
      <alignment vertical="top"/>
      <protection/>
    </xf>
    <xf numFmtId="165" fontId="0" fillId="0" borderId="0" xfId="61" applyNumberFormat="1" applyFont="1" applyAlignment="1">
      <alignment horizontal="left"/>
      <protection/>
    </xf>
    <xf numFmtId="0" fontId="9" fillId="0" borderId="0" xfId="0" applyFont="1" applyAlignment="1">
      <alignment horizontal="center" vertical="top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6" fontId="13" fillId="0" borderId="0" xfId="0" applyNumberFormat="1" applyFont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13" fillId="0" borderId="10" xfId="0" applyNumberFormat="1" applyFont="1" applyBorder="1" applyAlignment="1">
      <alignment/>
    </xf>
    <xf numFmtId="6" fontId="0" fillId="0" borderId="0" xfId="61" applyNumberFormat="1" applyFont="1" applyAlignment="1">
      <alignment/>
      <protection/>
    </xf>
    <xf numFmtId="6" fontId="0" fillId="0" borderId="0" xfId="61" applyNumberFormat="1" applyFont="1" applyAlignment="1">
      <alignment wrapText="1"/>
      <protection/>
    </xf>
    <xf numFmtId="165" fontId="0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6" fontId="7" fillId="0" borderId="11" xfId="0" applyNumberFormat="1" applyFont="1" applyBorder="1" applyAlignment="1">
      <alignment/>
    </xf>
    <xf numFmtId="6" fontId="7" fillId="0" borderId="0" xfId="0" applyNumberFormat="1" applyFont="1" applyAlignment="1">
      <alignment/>
    </xf>
    <xf numFmtId="38" fontId="7" fillId="0" borderId="11" xfId="0" applyNumberFormat="1" applyFont="1" applyBorder="1" applyAlignment="1">
      <alignment/>
    </xf>
    <xf numFmtId="0" fontId="0" fillId="0" borderId="0" xfId="57" applyAlignment="1">
      <alignment/>
      <protection/>
    </xf>
    <xf numFmtId="6" fontId="0" fillId="0" borderId="0" xfId="57" applyNumberFormat="1" applyAlignment="1">
      <alignment/>
      <protection/>
    </xf>
    <xf numFmtId="38" fontId="0" fillId="0" borderId="0" xfId="57" applyNumberFormat="1" applyAlignment="1">
      <alignment/>
      <protection/>
    </xf>
    <xf numFmtId="165" fontId="0" fillId="0" borderId="0" xfId="57" applyNumberFormat="1" applyAlignment="1">
      <alignment horizontal="center"/>
      <protection/>
    </xf>
    <xf numFmtId="165" fontId="0" fillId="0" borderId="0" xfId="57" applyNumberFormat="1" applyFont="1" applyAlignment="1">
      <alignment horizontal="left"/>
      <protection/>
    </xf>
    <xf numFmtId="165" fontId="0" fillId="0" borderId="0" xfId="57" applyNumberFormat="1" applyAlignment="1">
      <alignment horizontal="left"/>
      <protection/>
    </xf>
    <xf numFmtId="10" fontId="9" fillId="0" borderId="0" xfId="57" applyNumberFormat="1" applyFont="1" applyAlignment="1">
      <alignment horizontal="center"/>
      <protection/>
    </xf>
    <xf numFmtId="10" fontId="9" fillId="0" borderId="0" xfId="57" applyNumberFormat="1" applyFont="1" applyAlignment="1">
      <alignment/>
      <protection/>
    </xf>
    <xf numFmtId="0" fontId="9" fillId="0" borderId="0" xfId="57" applyFont="1" applyAlignment="1">
      <alignment horizontal="center" vertical="top"/>
      <protection/>
    </xf>
    <xf numFmtId="6" fontId="13" fillId="0" borderId="10" xfId="57" applyNumberFormat="1" applyFont="1" applyBorder="1" applyAlignment="1">
      <alignment horizontal="center"/>
      <protection/>
    </xf>
    <xf numFmtId="6" fontId="13" fillId="0" borderId="10" xfId="57" applyNumberFormat="1" applyFont="1" applyBorder="1" applyAlignment="1">
      <alignment/>
      <protection/>
    </xf>
    <xf numFmtId="6" fontId="12" fillId="0" borderId="0" xfId="57" applyNumberFormat="1" applyFont="1" applyAlignment="1">
      <alignment/>
      <protection/>
    </xf>
    <xf numFmtId="0" fontId="9" fillId="0" borderId="0" xfId="57" applyFont="1" applyAlignment="1">
      <alignment/>
      <protection/>
    </xf>
    <xf numFmtId="6" fontId="13" fillId="0" borderId="0" xfId="57" applyNumberFormat="1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6" fontId="9" fillId="0" borderId="0" xfId="57" applyNumberFormat="1" applyFont="1" applyAlignment="1">
      <alignment/>
      <protection/>
    </xf>
    <xf numFmtId="38" fontId="9" fillId="0" borderId="0" xfId="57" applyNumberFormat="1" applyFont="1" applyAlignment="1">
      <alignment/>
      <protection/>
    </xf>
    <xf numFmtId="165" fontId="9" fillId="0" borderId="0" xfId="57" applyNumberFormat="1" applyFont="1" applyAlignment="1">
      <alignment horizontal="left"/>
      <protection/>
    </xf>
    <xf numFmtId="6" fontId="0" fillId="0" borderId="0" xfId="57" applyNumberFormat="1" applyFont="1" applyAlignment="1">
      <alignment/>
      <protection/>
    </xf>
    <xf numFmtId="38" fontId="0" fillId="0" borderId="0" xfId="57" applyNumberFormat="1" applyFont="1" applyAlignment="1">
      <alignment/>
      <protection/>
    </xf>
    <xf numFmtId="165" fontId="7" fillId="0" borderId="0" xfId="57" applyNumberFormat="1" applyFont="1" applyAlignment="1">
      <alignment horizontal="left"/>
      <protection/>
    </xf>
    <xf numFmtId="171" fontId="0" fillId="0" borderId="0" xfId="57" applyNumberFormat="1" applyAlignment="1">
      <alignment/>
      <protection/>
    </xf>
    <xf numFmtId="171" fontId="0" fillId="0" borderId="0" xfId="57" applyNumberFormat="1" applyBorder="1" applyAlignment="1">
      <alignment/>
      <protection/>
    </xf>
    <xf numFmtId="171" fontId="0" fillId="0" borderId="0" xfId="57" applyNumberFormat="1" applyAlignment="1">
      <alignment horizontal="center"/>
      <protection/>
    </xf>
    <xf numFmtId="6" fontId="0" fillId="0" borderId="0" xfId="57" applyNumberFormat="1" applyBorder="1" applyAlignment="1">
      <alignment/>
      <protection/>
    </xf>
    <xf numFmtId="6" fontId="7" fillId="0" borderId="11" xfId="57" applyNumberFormat="1" applyFont="1" applyBorder="1" applyAlignment="1">
      <alignment/>
      <protection/>
    </xf>
    <xf numFmtId="6" fontId="7" fillId="0" borderId="0" xfId="57" applyNumberFormat="1" applyFont="1" applyAlignment="1">
      <alignment/>
      <protection/>
    </xf>
    <xf numFmtId="38" fontId="7" fillId="0" borderId="11" xfId="57" applyNumberFormat="1" applyFont="1" applyBorder="1" applyAlignment="1">
      <alignment/>
      <protection/>
    </xf>
    <xf numFmtId="165" fontId="7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6" fontId="8" fillId="0" borderId="10" xfId="57" applyNumberFormat="1" applyFont="1" applyBorder="1" applyAlignment="1">
      <alignment horizontal="center"/>
      <protection/>
    </xf>
    <xf numFmtId="6" fontId="8" fillId="0" borderId="0" xfId="57" applyNumberFormat="1" applyFont="1" applyBorder="1" applyAlignment="1">
      <alignment horizontal="center"/>
      <protection/>
    </xf>
    <xf numFmtId="38" fontId="8" fillId="0" borderId="10" xfId="57" applyNumberFormat="1" applyFont="1" applyBorder="1" applyAlignment="1">
      <alignment horizontal="center"/>
      <protection/>
    </xf>
    <xf numFmtId="165" fontId="8" fillId="0" borderId="10" xfId="57" applyNumberFormat="1" applyFont="1" applyBorder="1" applyAlignment="1">
      <alignment horizontal="center"/>
      <protection/>
    </xf>
    <xf numFmtId="6" fontId="8" fillId="0" borderId="0" xfId="57" applyNumberFormat="1" applyFont="1" applyAlignment="1">
      <alignment horizontal="center"/>
      <protection/>
    </xf>
    <xf numFmtId="38" fontId="8" fillId="0" borderId="0" xfId="57" applyNumberFormat="1" applyFont="1" applyAlignment="1">
      <alignment horizontal="center"/>
      <protection/>
    </xf>
    <xf numFmtId="165" fontId="8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6" fontId="6" fillId="0" borderId="0" xfId="57" applyNumberFormat="1" applyFont="1" applyAlignment="1">
      <alignment horizontal="center"/>
      <protection/>
    </xf>
    <xf numFmtId="6" fontId="1" fillId="0" borderId="0" xfId="61" applyNumberFormat="1" applyFont="1">
      <alignment vertical="top"/>
      <protection/>
    </xf>
    <xf numFmtId="165" fontId="0" fillId="0" borderId="0" xfId="57" applyNumberFormat="1" applyFont="1" applyAlignment="1">
      <alignment horizontal="left" vertical="center"/>
      <protection/>
    </xf>
    <xf numFmtId="6" fontId="0" fillId="0" borderId="0" xfId="57" applyNumberFormat="1" applyAlignment="1">
      <alignment vertical="center"/>
      <protection/>
    </xf>
    <xf numFmtId="38" fontId="0" fillId="0" borderId="0" xfId="57" applyNumberFormat="1" applyAlignment="1">
      <alignment vertical="center"/>
      <protection/>
    </xf>
    <xf numFmtId="6" fontId="8" fillId="0" borderId="10" xfId="57" applyNumberFormat="1" applyFont="1" applyBorder="1" applyAlignment="1">
      <alignment horizontal="center"/>
      <protection/>
    </xf>
    <xf numFmtId="165" fontId="7" fillId="33" borderId="12" xfId="57" applyNumberFormat="1" applyFont="1" applyFill="1" applyBorder="1" applyAlignment="1">
      <alignment horizontal="center"/>
      <protection/>
    </xf>
    <xf numFmtId="165" fontId="7" fillId="33" borderId="13" xfId="57" applyNumberFormat="1" applyFont="1" applyFill="1" applyBorder="1" applyAlignment="1">
      <alignment horizontal="center"/>
      <protection/>
    </xf>
    <xf numFmtId="6" fontId="13" fillId="0" borderId="10" xfId="57" applyNumberFormat="1" applyFont="1" applyBorder="1" applyAlignment="1">
      <alignment horizontal="center"/>
      <protection/>
    </xf>
    <xf numFmtId="6" fontId="4" fillId="0" borderId="0" xfId="57" applyNumberFormat="1" applyFont="1" applyAlignment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6" fontId="11" fillId="0" borderId="0" xfId="53" applyNumberFormat="1" applyFont="1" applyAlignment="1" applyProtection="1">
      <alignment horizontal="center"/>
      <protection/>
    </xf>
    <xf numFmtId="0" fontId="6" fillId="0" borderId="0" xfId="57" applyFont="1" applyAlignment="1">
      <alignment horizontal="center" vertical="center"/>
      <protection/>
    </xf>
    <xf numFmtId="165" fontId="7" fillId="33" borderId="14" xfId="57" applyNumberFormat="1" applyFont="1" applyFill="1" applyBorder="1" applyAlignment="1">
      <alignment horizontal="center"/>
      <protection/>
    </xf>
    <xf numFmtId="6" fontId="8" fillId="0" borderId="10" xfId="0" applyNumberFormat="1" applyFont="1" applyBorder="1" applyAlignment="1">
      <alignment horizontal="center"/>
    </xf>
    <xf numFmtId="165" fontId="7" fillId="33" borderId="12" xfId="0" applyNumberFormat="1" applyFont="1" applyFill="1" applyBorder="1" applyAlignment="1">
      <alignment horizontal="center"/>
    </xf>
    <xf numFmtId="165" fontId="7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838200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10</xdr:col>
      <xdr:colOff>828675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66675</xdr:rowOff>
    </xdr:from>
    <xdr:to>
      <xdr:col>12</xdr:col>
      <xdr:colOff>781050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6667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885825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66675</xdr:rowOff>
    </xdr:from>
    <xdr:to>
      <xdr:col>12</xdr:col>
      <xdr:colOff>781050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6667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66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66675</xdr:rowOff>
    </xdr:from>
    <xdr:to>
      <xdr:col>12</xdr:col>
      <xdr:colOff>781050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66675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45383</v>
      </c>
      <c r="B15" s="53">
        <v>850117185.56</v>
      </c>
      <c r="C15" s="53">
        <v>0</v>
      </c>
      <c r="D15" s="53">
        <f aca="true" t="shared" si="0" ref="D15:D26">IF(ISBLANK(B15),"",B15-C15-E15)</f>
        <v>826217374.8</v>
      </c>
      <c r="E15" s="53">
        <v>23899810.760000005</v>
      </c>
      <c r="F15" s="54">
        <v>1000</v>
      </c>
      <c r="G15" s="53">
        <f>_xlfn.IFERROR((E15/F15/30)," ")</f>
        <v>796.6603586666668</v>
      </c>
      <c r="I15" s="53">
        <v>10754914.842</v>
      </c>
      <c r="J15" s="53">
        <v>2389981.07</v>
      </c>
      <c r="K15" s="53">
        <v>10754914.859999998</v>
      </c>
    </row>
    <row r="16" spans="1:11" ht="12.75">
      <c r="A16" s="55">
        <v>45413</v>
      </c>
      <c r="B16" s="53">
        <v>894446190.13</v>
      </c>
      <c r="C16" s="53">
        <v>0</v>
      </c>
      <c r="D16" s="53">
        <f>IF(ISBLANK(B16),"",B16-C16-E16)</f>
        <v>871215404.59</v>
      </c>
      <c r="E16" s="53">
        <v>23230785.54</v>
      </c>
      <c r="F16" s="54">
        <v>1000</v>
      </c>
      <c r="G16" s="53">
        <f>_xlfn.IFERROR((E16/F16/31)," ")</f>
        <v>749.3801787096775</v>
      </c>
      <c r="I16" s="53">
        <v>10453853.493000003</v>
      </c>
      <c r="J16" s="53">
        <v>2323078.559999999</v>
      </c>
      <c r="K16" s="53">
        <v>10453853.48</v>
      </c>
    </row>
    <row r="17" spans="1:11" ht="12.75">
      <c r="A17" s="55">
        <v>45444</v>
      </c>
      <c r="B17" s="53">
        <v>840832013.4799999</v>
      </c>
      <c r="C17" s="53">
        <v>0</v>
      </c>
      <c r="D17" s="53">
        <f t="shared" si="0"/>
        <v>818081315.9699999</v>
      </c>
      <c r="E17" s="53">
        <v>22750697.510000005</v>
      </c>
      <c r="F17" s="54">
        <v>1000</v>
      </c>
      <c r="G17" s="53">
        <f aca="true" t="shared" si="1" ref="G17:G22">_xlfn.IFERROR((E17/F17/30)," ")</f>
        <v>758.3565836666669</v>
      </c>
      <c r="I17" s="53">
        <v>10237813.879500002</v>
      </c>
      <c r="J17" s="53">
        <v>2275069.7700000005</v>
      </c>
      <c r="K17" s="53">
        <v>10237813.87</v>
      </c>
    </row>
    <row r="18" spans="1:11" ht="12.75">
      <c r="A18" s="55">
        <v>45474</v>
      </c>
      <c r="B18" s="53">
        <v>872396623.01</v>
      </c>
      <c r="C18" s="53">
        <v>0</v>
      </c>
      <c r="D18" s="53">
        <f t="shared" si="0"/>
        <v>848824494.81</v>
      </c>
      <c r="E18" s="53">
        <v>23572128.2</v>
      </c>
      <c r="F18" s="54">
        <v>1000</v>
      </c>
      <c r="G18" s="53">
        <f>_xlfn.IFERROR((E18/F18/31)," ")</f>
        <v>760.3912322580645</v>
      </c>
      <c r="I18" s="53">
        <v>10607457.690000001</v>
      </c>
      <c r="J18" s="53">
        <v>2357212.8300000005</v>
      </c>
      <c r="K18" s="53">
        <v>10607457.71</v>
      </c>
    </row>
    <row r="19" spans="1:7" ht="12.75">
      <c r="A19" s="55">
        <v>45505</v>
      </c>
      <c r="D19" s="53">
        <f t="shared" si="0"/>
      </c>
      <c r="G19" s="53" t="str">
        <f>_xlfn.IFERROR((E19/F19/31)," ")</f>
        <v> </v>
      </c>
    </row>
    <row r="20" spans="1:7" ht="12.75">
      <c r="A20" s="55">
        <v>45536</v>
      </c>
      <c r="D20" s="53">
        <f t="shared" si="0"/>
      </c>
      <c r="G20" s="53" t="str">
        <f t="shared" si="1"/>
        <v> </v>
      </c>
    </row>
    <row r="21" spans="1:7" ht="12.75">
      <c r="A21" s="55">
        <v>45566</v>
      </c>
      <c r="D21" s="53">
        <f t="shared" si="0"/>
      </c>
      <c r="G21" s="53" t="str">
        <f>_xlfn.IFERROR((E21/F21/31)," ")</f>
        <v> </v>
      </c>
    </row>
    <row r="22" spans="1:7" ht="12.75">
      <c r="A22" s="55">
        <v>45597</v>
      </c>
      <c r="D22" s="53">
        <f t="shared" si="0"/>
      </c>
      <c r="G22" s="53" t="str">
        <f t="shared" si="1"/>
        <v> </v>
      </c>
    </row>
    <row r="23" spans="1:7" ht="12.75">
      <c r="A23" s="55">
        <v>45627</v>
      </c>
      <c r="D23" s="53">
        <f t="shared" si="0"/>
      </c>
      <c r="G23" s="53" t="str">
        <f>_xlfn.IFERROR((E23/F23/31)," ")</f>
        <v> </v>
      </c>
    </row>
    <row r="24" spans="1:7" ht="12.75">
      <c r="A24" s="55">
        <v>45658</v>
      </c>
      <c r="D24" s="53">
        <f t="shared" si="0"/>
      </c>
      <c r="G24" s="53" t="str">
        <f>_xlfn.IFERROR((E24/F24/31)," ")</f>
        <v> </v>
      </c>
    </row>
    <row r="25" spans="1:7" ht="12.75">
      <c r="A25" s="55">
        <v>45689</v>
      </c>
      <c r="D25" s="53">
        <f t="shared" si="0"/>
      </c>
      <c r="G25" s="53" t="str">
        <f>_xlfn.IFERROR((E25/F25/29)," ")</f>
        <v> </v>
      </c>
    </row>
    <row r="26" spans="1:7" ht="12.75">
      <c r="A26" s="55">
        <v>45717</v>
      </c>
      <c r="D26" s="53">
        <f t="shared" si="0"/>
      </c>
      <c r="G26" s="53" t="str">
        <f>_xlfn.IFERROR((E26/F26/31)," ")</f>
        <v> </v>
      </c>
    </row>
    <row r="27" spans="1:11" ht="13.5" thickBot="1">
      <c r="A27" s="81" t="s">
        <v>15</v>
      </c>
      <c r="B27" s="78">
        <f>SUM(B15:B26)</f>
        <v>3457792012.1800003</v>
      </c>
      <c r="C27" s="78">
        <f>SUM(C15:C26)</f>
        <v>0</v>
      </c>
      <c r="D27" s="78">
        <f>SUM(D15:D26)</f>
        <v>3364338590.1699996</v>
      </c>
      <c r="E27" s="78">
        <f>SUM(E15:E26)</f>
        <v>93453422.01</v>
      </c>
      <c r="F27" s="80">
        <f>AVERAGE(F15:F26)</f>
        <v>1000</v>
      </c>
      <c r="G27" s="78">
        <f>AVERAGE(G15:G26)</f>
        <v>766.1970883252689</v>
      </c>
      <c r="H27" s="79"/>
      <c r="I27" s="78">
        <f>SUM(I15:I26)</f>
        <v>42054039.90450001</v>
      </c>
      <c r="J27" s="78">
        <f>SUM(J15:J26)</f>
        <v>9345342.23</v>
      </c>
      <c r="K27" s="78">
        <f>SUM(K15:K26)</f>
        <v>42054039.919999994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0.9729730933263733</v>
      </c>
      <c r="E29" s="75">
        <f>_xlfn.IFERROR(E27/B27,"")</f>
        <v>0.027026906673626484</v>
      </c>
      <c r="I29" s="75">
        <f>_xlfn.IFERROR(I27/$E$27,"")</f>
        <v>0.45000000000000007</v>
      </c>
      <c r="J29" s="75">
        <f>_xlfn.IFERROR(J27/$E$27,"")</f>
        <v>0.10000000031031502</v>
      </c>
      <c r="K29" s="75">
        <f>_xlfn.IFERROR(K27/$E$27,"")</f>
        <v>0.45000000016585795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45017</v>
      </c>
      <c r="B15" s="53">
        <v>836869215.5</v>
      </c>
      <c r="C15" s="53">
        <v>0</v>
      </c>
      <c r="D15" s="53">
        <f aca="true" t="shared" si="0" ref="D15:D26">IF(ISBLANK(B15),"",B15-C15-E15)</f>
        <v>814417275.89</v>
      </c>
      <c r="E15" s="53">
        <v>22451939.610000014</v>
      </c>
      <c r="F15" s="54">
        <v>1000</v>
      </c>
      <c r="G15" s="53">
        <f>_xlfn.IFERROR((E15/F15/30)," ")</f>
        <v>748.3979870000005</v>
      </c>
      <c r="I15" s="53">
        <v>10103372.824500004</v>
      </c>
      <c r="J15" s="53">
        <v>2245194</v>
      </c>
      <c r="K15" s="53">
        <v>10103372.840000002</v>
      </c>
    </row>
    <row r="16" spans="1:11" ht="12.75">
      <c r="A16" s="55">
        <v>45047</v>
      </c>
      <c r="B16" s="53">
        <v>828729720</v>
      </c>
      <c r="C16" s="53">
        <v>0</v>
      </c>
      <c r="D16" s="53">
        <f>IF(ISBLANK(B16),"",B16-C16-E16)</f>
        <v>805301540.85</v>
      </c>
      <c r="E16" s="53">
        <v>23428179.150000006</v>
      </c>
      <c r="F16" s="54">
        <v>1000</v>
      </c>
      <c r="G16" s="53">
        <f>_xlfn.IFERROR((E16/F16/31)," ")</f>
        <v>755.7477145161292</v>
      </c>
      <c r="I16" s="53">
        <v>10542680.617500005</v>
      </c>
      <c r="J16" s="53">
        <v>2342817.95</v>
      </c>
      <c r="K16" s="53">
        <v>10542680.65</v>
      </c>
    </row>
    <row r="17" spans="1:11" ht="12.75">
      <c r="A17" s="55">
        <v>45078</v>
      </c>
      <c r="B17" s="53">
        <v>823033339.75</v>
      </c>
      <c r="C17" s="53">
        <v>0</v>
      </c>
      <c r="D17" s="53">
        <f t="shared" si="0"/>
        <v>801708975.6800001</v>
      </c>
      <c r="E17" s="53">
        <v>21324364.069999993</v>
      </c>
      <c r="F17" s="54">
        <v>1000</v>
      </c>
      <c r="G17" s="53">
        <f aca="true" t="shared" si="1" ref="G17:G22">_xlfn.IFERROR((E17/F17/30)," ")</f>
        <v>710.8121356666664</v>
      </c>
      <c r="I17" s="53">
        <v>9595963.831499998</v>
      </c>
      <c r="J17" s="53">
        <v>2132436.4499999997</v>
      </c>
      <c r="K17" s="53">
        <v>9595963.850000001</v>
      </c>
    </row>
    <row r="18" spans="1:11" ht="12.75">
      <c r="A18" s="55">
        <v>45108</v>
      </c>
      <c r="B18" s="53">
        <v>874867819.25</v>
      </c>
      <c r="C18" s="53">
        <v>0</v>
      </c>
      <c r="D18" s="53">
        <f t="shared" si="0"/>
        <v>852579629.5</v>
      </c>
      <c r="E18" s="53">
        <v>22288189.749999993</v>
      </c>
      <c r="F18" s="54">
        <v>1000</v>
      </c>
      <c r="G18" s="53">
        <f>_xlfn.IFERROR((E18/F18/31)," ")</f>
        <v>718.9738629032256</v>
      </c>
      <c r="I18" s="53">
        <v>10029685.387499996</v>
      </c>
      <c r="J18" s="53">
        <v>2228818.9499999997</v>
      </c>
      <c r="K18" s="53">
        <v>10029685.390000002</v>
      </c>
    </row>
    <row r="19" spans="1:11" ht="12.75">
      <c r="A19" s="55">
        <v>45139</v>
      </c>
      <c r="B19" s="53">
        <v>864278013</v>
      </c>
      <c r="C19" s="53">
        <v>0</v>
      </c>
      <c r="D19" s="53">
        <f t="shared" si="0"/>
        <v>842296228.71</v>
      </c>
      <c r="E19" s="53">
        <v>21981784.290000003</v>
      </c>
      <c r="F19" s="54">
        <v>1000</v>
      </c>
      <c r="G19" s="53">
        <f>_xlfn.IFERROR((E19/F19/31)," ")</f>
        <v>709.0898158064517</v>
      </c>
      <c r="I19" s="53">
        <v>9891802.930500003</v>
      </c>
      <c r="J19" s="53">
        <v>2198178.43</v>
      </c>
      <c r="K19" s="53">
        <v>9891802.96</v>
      </c>
    </row>
    <row r="20" spans="1:11" ht="12.75">
      <c r="A20" s="55">
        <v>45170</v>
      </c>
      <c r="B20" s="53">
        <v>806541380.75</v>
      </c>
      <c r="C20" s="53">
        <v>0</v>
      </c>
      <c r="D20" s="53">
        <f t="shared" si="0"/>
        <v>785562843.82</v>
      </c>
      <c r="E20" s="53">
        <v>20978536.93</v>
      </c>
      <c r="F20" s="54">
        <v>1000</v>
      </c>
      <c r="G20" s="53">
        <f t="shared" si="1"/>
        <v>699.2845643333333</v>
      </c>
      <c r="I20" s="53">
        <v>9440341.618500002</v>
      </c>
      <c r="J20" s="53">
        <v>2097853.69</v>
      </c>
      <c r="K20" s="53">
        <v>9440341.610000001</v>
      </c>
    </row>
    <row r="21" spans="1:11" ht="12.75">
      <c r="A21" s="55">
        <v>45200</v>
      </c>
      <c r="B21" s="53">
        <v>854175050.51</v>
      </c>
      <c r="C21" s="53">
        <v>0</v>
      </c>
      <c r="D21" s="53">
        <f t="shared" si="0"/>
        <v>831003899.19</v>
      </c>
      <c r="E21" s="53">
        <v>23171151.319999993</v>
      </c>
      <c r="F21" s="54">
        <v>1000</v>
      </c>
      <c r="G21" s="53">
        <f>_xlfn.IFERROR((E21/F21/31)," ")</f>
        <v>747.4564941935482</v>
      </c>
      <c r="I21" s="53">
        <v>10427018.093999999</v>
      </c>
      <c r="J21" s="53">
        <v>2317115.13</v>
      </c>
      <c r="K21" s="53">
        <v>10427018.09</v>
      </c>
    </row>
    <row r="22" spans="1:11" ht="12.75">
      <c r="A22" s="55">
        <v>45231</v>
      </c>
      <c r="B22" s="53">
        <v>810496548</v>
      </c>
      <c r="C22" s="53">
        <v>0</v>
      </c>
      <c r="D22" s="53">
        <f t="shared" si="0"/>
        <v>787549505.3</v>
      </c>
      <c r="E22" s="53">
        <v>22947042.700000014</v>
      </c>
      <c r="F22" s="54">
        <v>1000</v>
      </c>
      <c r="G22" s="53">
        <f t="shared" si="1"/>
        <v>764.9014233333338</v>
      </c>
      <c r="I22" s="53">
        <v>10326169.215000007</v>
      </c>
      <c r="J22" s="53">
        <v>2294704.27</v>
      </c>
      <c r="K22" s="53">
        <v>10326169.21</v>
      </c>
    </row>
    <row r="23" spans="1:11" ht="12.75">
      <c r="A23" s="55">
        <v>45261</v>
      </c>
      <c r="B23" s="53">
        <v>881195513.3499999</v>
      </c>
      <c r="C23" s="53">
        <v>0</v>
      </c>
      <c r="D23" s="53">
        <f t="shared" si="0"/>
        <v>858950039.0699999</v>
      </c>
      <c r="E23" s="53">
        <v>22245474.280000005</v>
      </c>
      <c r="F23" s="54">
        <v>1000</v>
      </c>
      <c r="G23" s="53">
        <f>_xlfn.IFERROR((E23/F23/31)," ")</f>
        <v>717.5959445161292</v>
      </c>
      <c r="I23" s="53">
        <v>10010463.426</v>
      </c>
      <c r="J23" s="53">
        <v>2224547.3999999994</v>
      </c>
      <c r="K23" s="53">
        <v>10010463.43</v>
      </c>
    </row>
    <row r="24" spans="1:11" ht="12.75">
      <c r="A24" s="55">
        <v>45292</v>
      </c>
      <c r="B24" s="53">
        <v>922535658.66</v>
      </c>
      <c r="C24" s="53">
        <v>0</v>
      </c>
      <c r="D24" s="53">
        <f t="shared" si="0"/>
        <v>899004544.05</v>
      </c>
      <c r="E24" s="53">
        <v>23531114.61</v>
      </c>
      <c r="F24" s="54">
        <v>1000</v>
      </c>
      <c r="G24" s="53">
        <f>_xlfn.IFERROR((E24/F24/31)," ")</f>
        <v>759.0682132258065</v>
      </c>
      <c r="I24" s="53">
        <v>10589001.5745</v>
      </c>
      <c r="J24" s="53">
        <v>2353111.47</v>
      </c>
      <c r="K24" s="53">
        <v>10589001.590000002</v>
      </c>
    </row>
    <row r="25" spans="1:11" ht="12.75">
      <c r="A25" s="55">
        <v>45323</v>
      </c>
      <c r="B25" s="53">
        <v>886952523.17</v>
      </c>
      <c r="C25" s="53">
        <v>0</v>
      </c>
      <c r="D25" s="53">
        <f t="shared" si="0"/>
        <v>862864185.25</v>
      </c>
      <c r="E25" s="53">
        <v>24088337.919999998</v>
      </c>
      <c r="F25" s="54">
        <v>1000</v>
      </c>
      <c r="G25" s="53">
        <f>_xlfn.IFERROR((E25/F25/29)," ")</f>
        <v>830.6323420689655</v>
      </c>
      <c r="I25" s="53">
        <v>10839752.063999997</v>
      </c>
      <c r="J25" s="53">
        <v>2408833.7899999996</v>
      </c>
      <c r="K25" s="53">
        <v>10839752.060000002</v>
      </c>
    </row>
    <row r="26" spans="1:11" ht="12.75">
      <c r="A26" s="55">
        <v>45352</v>
      </c>
      <c r="B26" s="53">
        <v>943120663.0799999</v>
      </c>
      <c r="C26" s="53">
        <v>0</v>
      </c>
      <c r="D26" s="53">
        <f t="shared" si="0"/>
        <v>918384046.03</v>
      </c>
      <c r="E26" s="53">
        <v>24736617.05</v>
      </c>
      <c r="F26" s="54">
        <v>1000</v>
      </c>
      <c r="G26" s="53">
        <f>_xlfn.IFERROR((E26/F26/31)," ")</f>
        <v>797.9553887096774</v>
      </c>
      <c r="I26" s="53">
        <v>11131477.672500003</v>
      </c>
      <c r="J26" s="53">
        <v>2473661.7000000007</v>
      </c>
      <c r="K26" s="53">
        <v>11131477.69</v>
      </c>
    </row>
    <row r="27" spans="1:11" ht="13.5" thickBot="1">
      <c r="A27" s="81" t="s">
        <v>15</v>
      </c>
      <c r="B27" s="78">
        <f>SUM(B15:B26)</f>
        <v>10332795445.02</v>
      </c>
      <c r="C27" s="78">
        <f>SUM(C15:C26)</f>
        <v>0</v>
      </c>
      <c r="D27" s="78">
        <f>SUM(D15:D26)</f>
        <v>10059622713.34</v>
      </c>
      <c r="E27" s="78">
        <f>SUM(E15:E26)</f>
        <v>273172731.68</v>
      </c>
      <c r="F27" s="80">
        <f>AVERAGE(F15:F26)</f>
        <v>1000</v>
      </c>
      <c r="G27" s="78">
        <f>AVERAGE(G15:G26)</f>
        <v>746.6596571894389</v>
      </c>
      <c r="H27" s="79"/>
      <c r="I27" s="78">
        <f>SUM(I15:I26)</f>
        <v>122927729.256</v>
      </c>
      <c r="J27" s="78">
        <f>SUM(J15:J26)</f>
        <v>27317273.229999993</v>
      </c>
      <c r="K27" s="78">
        <f>SUM(K15:K26)</f>
        <v>122927729.37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0.9735625530251197</v>
      </c>
      <c r="E29" s="75">
        <f>_xlfn.IFERROR(E27/B27,"")</f>
        <v>0.026437446974880208</v>
      </c>
      <c r="I29" s="75">
        <f>_xlfn.IFERROR(I27/$E$27,"")</f>
        <v>0.44999999999999996</v>
      </c>
      <c r="J29" s="75">
        <f>_xlfn.IFERROR(J27/$E$27,"")</f>
        <v>0.1000000002269626</v>
      </c>
      <c r="K29" s="75">
        <f>_xlfn.IFERROR(K27/$E$27,"")</f>
        <v>0.45000000041731836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ignoredErrors>
    <ignoredError sqref="G16:G17 G20:G21 G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44652</v>
      </c>
      <c r="B15" s="53">
        <v>849739479.5</v>
      </c>
      <c r="C15" s="53">
        <v>0</v>
      </c>
      <c r="D15" s="53">
        <f aca="true" t="shared" si="0" ref="D15:D26">IF(ISBLANK(B15),"",B15-C15-E15)</f>
        <v>826511690.63</v>
      </c>
      <c r="E15" s="53">
        <v>23227788.869999994</v>
      </c>
      <c r="F15" s="54">
        <v>1000</v>
      </c>
      <c r="G15" s="53">
        <f>_xlfn.IFERROR((E15/F15/30)," ")</f>
        <v>774.2596289999998</v>
      </c>
      <c r="I15" s="53">
        <v>10452504.991499998</v>
      </c>
      <c r="J15" s="53">
        <v>2322778.9</v>
      </c>
      <c r="K15" s="53">
        <v>10452504.99</v>
      </c>
    </row>
    <row r="16" spans="1:11" ht="12.75">
      <c r="A16" s="55">
        <v>44682</v>
      </c>
      <c r="B16" s="53">
        <v>867945091.27</v>
      </c>
      <c r="C16" s="53">
        <v>0</v>
      </c>
      <c r="D16" s="53">
        <f t="shared" si="0"/>
        <v>844919778.46</v>
      </c>
      <c r="E16" s="53">
        <v>23025312.81</v>
      </c>
      <c r="F16" s="54">
        <v>1000</v>
      </c>
      <c r="G16" s="53">
        <f>_xlfn.IFERROR((E16/F16/31)," ")</f>
        <v>742.7520261290323</v>
      </c>
      <c r="I16" s="53">
        <v>10361390.764499998</v>
      </c>
      <c r="J16" s="53">
        <v>2302531.3000000007</v>
      </c>
      <c r="K16" s="53">
        <v>10361390.79</v>
      </c>
    </row>
    <row r="17" spans="1:11" ht="12.75">
      <c r="A17" s="55">
        <v>44713</v>
      </c>
      <c r="B17" s="53">
        <v>777950463.5</v>
      </c>
      <c r="C17" s="53">
        <v>0</v>
      </c>
      <c r="D17" s="53">
        <f t="shared" si="0"/>
        <v>757815054.88</v>
      </c>
      <c r="E17" s="53">
        <v>20135408.62000001</v>
      </c>
      <c r="F17" s="54">
        <v>1000</v>
      </c>
      <c r="G17" s="53">
        <f aca="true" t="shared" si="1" ref="G17:G22">_xlfn.IFERROR((E17/F17/30)," ")</f>
        <v>671.1802873333337</v>
      </c>
      <c r="I17" s="53">
        <v>9060933.879000004</v>
      </c>
      <c r="J17" s="53">
        <v>2013540.8900000001</v>
      </c>
      <c r="K17" s="53">
        <v>9060933.88</v>
      </c>
    </row>
    <row r="18" spans="1:11" ht="12.75">
      <c r="A18" s="55">
        <v>44743</v>
      </c>
      <c r="B18" s="53">
        <v>815164434</v>
      </c>
      <c r="C18" s="53">
        <v>0</v>
      </c>
      <c r="D18" s="53">
        <f t="shared" si="0"/>
        <v>792608505.73</v>
      </c>
      <c r="E18" s="53">
        <v>22555928.269999992</v>
      </c>
      <c r="F18" s="54">
        <v>1000</v>
      </c>
      <c r="G18" s="53">
        <f>_xlfn.IFERROR((E18/F18/31)," ")</f>
        <v>727.6105893548385</v>
      </c>
      <c r="I18" s="53">
        <v>10150167.721499996</v>
      </c>
      <c r="J18" s="53">
        <v>2255592.8299999996</v>
      </c>
      <c r="K18" s="53">
        <v>10150167.749999998</v>
      </c>
    </row>
    <row r="19" spans="1:11" ht="12.75">
      <c r="A19" s="55">
        <v>44774</v>
      </c>
      <c r="B19" s="53">
        <v>769909043</v>
      </c>
      <c r="C19" s="53">
        <v>0</v>
      </c>
      <c r="D19" s="53">
        <f t="shared" si="0"/>
        <v>748237345.9</v>
      </c>
      <c r="E19" s="53">
        <v>21671697.100000005</v>
      </c>
      <c r="F19" s="54">
        <v>1000</v>
      </c>
      <c r="G19" s="53">
        <f>_xlfn.IFERROR((E19/F19/31)," ")</f>
        <v>699.0870032258066</v>
      </c>
      <c r="I19" s="53">
        <v>9752263.695</v>
      </c>
      <c r="J19" s="53">
        <v>2167169.7099999995</v>
      </c>
      <c r="K19" s="53">
        <v>9752263.73</v>
      </c>
    </row>
    <row r="20" spans="1:11" ht="12.75">
      <c r="A20" s="55">
        <v>44805</v>
      </c>
      <c r="B20" s="53">
        <v>785947247</v>
      </c>
      <c r="C20" s="53">
        <v>0</v>
      </c>
      <c r="D20" s="53">
        <f t="shared" si="0"/>
        <v>765293772.91</v>
      </c>
      <c r="E20" s="53">
        <v>20653474.09</v>
      </c>
      <c r="F20" s="54">
        <v>1000</v>
      </c>
      <c r="G20" s="53">
        <f t="shared" si="1"/>
        <v>688.4491363333333</v>
      </c>
      <c r="I20" s="53">
        <v>9294063.340499997</v>
      </c>
      <c r="J20" s="53">
        <v>2065347.4299999995</v>
      </c>
      <c r="K20" s="53">
        <v>9294063.309999999</v>
      </c>
    </row>
    <row r="21" spans="1:11" ht="12.75">
      <c r="A21" s="55">
        <v>44835</v>
      </c>
      <c r="B21" s="53">
        <v>803235727.5</v>
      </c>
      <c r="C21" s="53">
        <v>0</v>
      </c>
      <c r="D21" s="53">
        <f t="shared" si="0"/>
        <v>780376469.42</v>
      </c>
      <c r="E21" s="53">
        <v>22859258.079999994</v>
      </c>
      <c r="F21" s="54">
        <v>1000</v>
      </c>
      <c r="G21" s="53">
        <f>_xlfn.IFERROR((E21/F21/31)," ")</f>
        <v>737.3954219354838</v>
      </c>
      <c r="I21" s="53">
        <v>10286666.135999998</v>
      </c>
      <c r="J21" s="53">
        <v>2285925.8199999994</v>
      </c>
      <c r="K21" s="53">
        <v>10286666.15</v>
      </c>
    </row>
    <row r="22" spans="1:11" ht="12.75">
      <c r="A22" s="55">
        <v>44866</v>
      </c>
      <c r="B22" s="53">
        <v>778687499.5</v>
      </c>
      <c r="C22" s="53">
        <v>0</v>
      </c>
      <c r="D22" s="53">
        <f t="shared" si="0"/>
        <v>758076872.52</v>
      </c>
      <c r="E22" s="53">
        <v>20610626.980000008</v>
      </c>
      <c r="F22" s="54">
        <v>1000</v>
      </c>
      <c r="G22" s="53">
        <f t="shared" si="1"/>
        <v>687.0208993333337</v>
      </c>
      <c r="I22" s="53">
        <v>9274782.141000003</v>
      </c>
      <c r="J22" s="53">
        <v>2061062.7299999993</v>
      </c>
      <c r="K22" s="53">
        <v>9274782.159999998</v>
      </c>
    </row>
    <row r="23" spans="1:11" ht="12.75">
      <c r="A23" s="55">
        <v>44896</v>
      </c>
      <c r="B23" s="53">
        <v>810607824</v>
      </c>
      <c r="C23" s="53">
        <v>0</v>
      </c>
      <c r="D23" s="53">
        <f t="shared" si="0"/>
        <v>789607956.02</v>
      </c>
      <c r="E23" s="53">
        <v>20999867.980000008</v>
      </c>
      <c r="F23" s="54">
        <v>1000</v>
      </c>
      <c r="G23" s="53">
        <f>_xlfn.IFERROR((E23/F23/31)," ")</f>
        <v>677.4150961290325</v>
      </c>
      <c r="I23" s="53">
        <v>9449940.591000004</v>
      </c>
      <c r="J23" s="53">
        <v>2099986.8200000003</v>
      </c>
      <c r="K23" s="53">
        <v>9449940.58</v>
      </c>
    </row>
    <row r="24" spans="1:11" ht="12.75">
      <c r="A24" s="55">
        <v>44927</v>
      </c>
      <c r="B24" s="53">
        <v>923137929</v>
      </c>
      <c r="C24" s="53">
        <v>0</v>
      </c>
      <c r="D24" s="53">
        <f t="shared" si="0"/>
        <v>898340876.84</v>
      </c>
      <c r="E24" s="53">
        <v>24797052.160000004</v>
      </c>
      <c r="F24" s="54">
        <v>1000</v>
      </c>
      <c r="G24" s="53">
        <f>_xlfn.IFERROR((E24/F24/31)," ")</f>
        <v>799.9049083870968</v>
      </c>
      <c r="I24" s="53">
        <v>11158673.472</v>
      </c>
      <c r="J24" s="53">
        <v>2479705.2099999995</v>
      </c>
      <c r="K24" s="53">
        <v>11158673.510000002</v>
      </c>
    </row>
    <row r="25" spans="1:11" ht="12.75">
      <c r="A25" s="55">
        <v>44958</v>
      </c>
      <c r="B25" s="53">
        <v>808309555.01</v>
      </c>
      <c r="C25" s="53">
        <v>0</v>
      </c>
      <c r="D25" s="53">
        <f t="shared" si="0"/>
        <v>788175777.58</v>
      </c>
      <c r="E25" s="53">
        <v>20133777.430000003</v>
      </c>
      <c r="F25" s="54">
        <v>1000</v>
      </c>
      <c r="G25" s="53">
        <f>_xlfn.IFERROR((E25/F25/28)," ")</f>
        <v>719.0634796428573</v>
      </c>
      <c r="I25" s="53">
        <v>9060199.843500001</v>
      </c>
      <c r="J25" s="53">
        <v>2013377.7799999996</v>
      </c>
      <c r="K25" s="53">
        <v>9060199.86</v>
      </c>
    </row>
    <row r="26" spans="1:11" ht="12.75">
      <c r="A26" s="55">
        <v>44986</v>
      </c>
      <c r="B26" s="53">
        <v>938472647.5</v>
      </c>
      <c r="C26" s="53">
        <v>0</v>
      </c>
      <c r="D26" s="53">
        <f t="shared" si="0"/>
        <v>914407580.57</v>
      </c>
      <c r="E26" s="53">
        <v>24065066.929999996</v>
      </c>
      <c r="F26" s="54">
        <v>1000</v>
      </c>
      <c r="G26" s="53">
        <f>_xlfn.IFERROR((E26/F26/31)," ")</f>
        <v>776.2924816129031</v>
      </c>
      <c r="I26" s="53">
        <v>10829280.118499998</v>
      </c>
      <c r="J26" s="53">
        <v>2406506.7099999995</v>
      </c>
      <c r="K26" s="53">
        <v>10829280.11</v>
      </c>
    </row>
    <row r="27" spans="1:11" ht="13.5" thickBot="1">
      <c r="A27" s="81" t="s">
        <v>15</v>
      </c>
      <c r="B27" s="78">
        <f>SUM(B15:B26)</f>
        <v>9929106940.78</v>
      </c>
      <c r="C27" s="78">
        <f>SUM(C15:C26)</f>
        <v>0</v>
      </c>
      <c r="D27" s="78">
        <f>SUM(D15:D26)</f>
        <v>9664371681.460001</v>
      </c>
      <c r="E27" s="78">
        <f>SUM(E15:E26)</f>
        <v>264735259.32000005</v>
      </c>
      <c r="F27" s="80">
        <f>AVERAGE(F15:F26)</f>
        <v>1000</v>
      </c>
      <c r="G27" s="78">
        <f>AVERAGE(G15:G26)</f>
        <v>725.035913201421</v>
      </c>
      <c r="H27" s="79"/>
      <c r="I27" s="78">
        <f>SUM(I15:I26)</f>
        <v>119130866.694</v>
      </c>
      <c r="J27" s="78">
        <f>SUM(J15:J26)</f>
        <v>26473526.130000003</v>
      </c>
      <c r="K27" s="78">
        <f>SUM(K15:K26)</f>
        <v>119130866.82000001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0.973337455130763</v>
      </c>
      <c r="E29" s="75">
        <f>_xlfn.IFERROR(E27/B27,"")</f>
        <v>0.026662544869237078</v>
      </c>
      <c r="I29" s="75">
        <f>_xlfn.IFERROR(I27/$E$27,"")</f>
        <v>0.44999999999999996</v>
      </c>
      <c r="J29" s="75">
        <f>_xlfn.IFERROR(J27/$E$27,"")</f>
        <v>0.10000000074791698</v>
      </c>
      <c r="K29" s="75">
        <f>_xlfn.IFERROR(K27/$E$27,"")</f>
        <v>0.4500000004759471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ignoredErrors>
    <ignoredError sqref="G16:G2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44287</v>
      </c>
      <c r="B15" s="53">
        <v>763099053</v>
      </c>
      <c r="C15" s="53">
        <v>0</v>
      </c>
      <c r="D15" s="53">
        <f aca="true" t="shared" si="0" ref="D15:D26">IF(ISBLANK(B15),"",B15-C15-E15)</f>
        <v>742150935.62</v>
      </c>
      <c r="E15" s="53">
        <v>20948117.38</v>
      </c>
      <c r="F15" s="54">
        <v>1000</v>
      </c>
      <c r="G15" s="53">
        <f>_xlfn.IFERROR((E15/F15/30)," ")</f>
        <v>698.2705793333333</v>
      </c>
      <c r="I15" s="53">
        <v>9426652.82</v>
      </c>
      <c r="J15" s="53">
        <v>2094811.74</v>
      </c>
      <c r="K15" s="53">
        <v>9426652.82</v>
      </c>
    </row>
    <row r="16" spans="1:11" ht="12.75">
      <c r="A16" s="55">
        <v>44317</v>
      </c>
      <c r="B16" s="53">
        <v>870668461.5</v>
      </c>
      <c r="C16" s="53">
        <v>0</v>
      </c>
      <c r="D16" s="53">
        <f t="shared" si="0"/>
        <v>847796730.165</v>
      </c>
      <c r="E16" s="53">
        <v>22871731.33500001</v>
      </c>
      <c r="F16" s="54">
        <v>1000</v>
      </c>
      <c r="G16" s="53">
        <f>_xlfn.IFERROR((E16/F16/31)," ")</f>
        <v>737.7977850000002</v>
      </c>
      <c r="I16" s="53">
        <v>10292279.100750005</v>
      </c>
      <c r="J16" s="53">
        <v>2287173.14</v>
      </c>
      <c r="K16" s="53">
        <v>10292279.119999997</v>
      </c>
    </row>
    <row r="17" spans="1:11" ht="12.75">
      <c r="A17" s="55">
        <v>44348</v>
      </c>
      <c r="B17" s="53">
        <v>820781238.5</v>
      </c>
      <c r="C17" s="53">
        <v>0</v>
      </c>
      <c r="D17" s="53">
        <f t="shared" si="0"/>
        <v>798970544.23</v>
      </c>
      <c r="E17" s="53">
        <v>21810694.270000003</v>
      </c>
      <c r="F17" s="54">
        <v>1000</v>
      </c>
      <c r="G17" s="53">
        <f>_xlfn.IFERROR((E17/F17/30)," ")</f>
        <v>727.0231423333335</v>
      </c>
      <c r="I17" s="53">
        <v>9814812.421500001</v>
      </c>
      <c r="J17" s="53">
        <v>2181069.4400000004</v>
      </c>
      <c r="K17" s="53">
        <v>9814812.41</v>
      </c>
    </row>
    <row r="18" spans="1:11" ht="12.75">
      <c r="A18" s="55">
        <v>44378</v>
      </c>
      <c r="B18" s="53">
        <v>909210451.5</v>
      </c>
      <c r="C18" s="53">
        <v>0</v>
      </c>
      <c r="D18" s="53">
        <f t="shared" si="0"/>
        <v>885191467.0600001</v>
      </c>
      <c r="E18" s="53">
        <v>24018984.439999994</v>
      </c>
      <c r="F18" s="54">
        <v>1000</v>
      </c>
      <c r="G18" s="53">
        <f>_xlfn.IFERROR((E18/F18/31)," ")</f>
        <v>774.8059496774191</v>
      </c>
      <c r="I18" s="53">
        <v>10808542.997999996</v>
      </c>
      <c r="J18" s="53">
        <v>2401898.4600000004</v>
      </c>
      <c r="K18" s="53">
        <v>10808543.020000001</v>
      </c>
    </row>
    <row r="19" spans="1:11" ht="12.75">
      <c r="A19" s="55">
        <v>44409</v>
      </c>
      <c r="B19" s="53">
        <v>845138636</v>
      </c>
      <c r="C19" s="53">
        <v>0</v>
      </c>
      <c r="D19" s="53">
        <f t="shared" si="0"/>
        <v>823482143.8100001</v>
      </c>
      <c r="E19" s="53">
        <v>21656492.189999994</v>
      </c>
      <c r="F19" s="54">
        <v>1000</v>
      </c>
      <c r="G19" s="53">
        <f>_xlfn.IFERROR((E19/F19/31)," ")</f>
        <v>698.5965222580643</v>
      </c>
      <c r="I19" s="53">
        <v>9745421.485499997</v>
      </c>
      <c r="J19" s="53">
        <v>2165649.2189999996</v>
      </c>
      <c r="K19" s="53">
        <v>9745421.5</v>
      </c>
    </row>
    <row r="20" spans="1:11" ht="12.75">
      <c r="A20" s="55">
        <v>44440</v>
      </c>
      <c r="B20" s="53">
        <v>810460626.01</v>
      </c>
      <c r="C20" s="53">
        <v>0</v>
      </c>
      <c r="D20" s="53">
        <f t="shared" si="0"/>
        <v>789224032.4</v>
      </c>
      <c r="E20" s="53">
        <v>21236593.610000014</v>
      </c>
      <c r="F20" s="54">
        <v>1000</v>
      </c>
      <c r="G20" s="53">
        <f>_xlfn.IFERROR((E20/F20/30)," ")</f>
        <v>707.8864536666672</v>
      </c>
      <c r="I20" s="53">
        <v>9556467.124500008</v>
      </c>
      <c r="J20" s="53">
        <v>2123659.3610000014</v>
      </c>
      <c r="K20" s="53">
        <v>9556467.12</v>
      </c>
    </row>
    <row r="21" spans="1:11" ht="12.75">
      <c r="A21" s="55">
        <v>44470</v>
      </c>
      <c r="B21" s="53">
        <v>835412300</v>
      </c>
      <c r="C21" s="53">
        <v>0</v>
      </c>
      <c r="D21" s="53">
        <f t="shared" si="0"/>
        <v>812227694.39</v>
      </c>
      <c r="E21" s="53">
        <v>23184605.609999996</v>
      </c>
      <c r="F21" s="54">
        <v>1000</v>
      </c>
      <c r="G21" s="53">
        <f>_xlfn.IFERROR((E21/F21/31)," ")</f>
        <v>747.890503548387</v>
      </c>
      <c r="I21" s="53">
        <v>10433072.524499996</v>
      </c>
      <c r="J21" s="53">
        <v>2318460.56</v>
      </c>
      <c r="K21" s="53">
        <v>10433072.55</v>
      </c>
    </row>
    <row r="22" spans="1:11" ht="12.75">
      <c r="A22" s="55">
        <v>44501</v>
      </c>
      <c r="B22" s="53">
        <v>823884966.5</v>
      </c>
      <c r="C22" s="53">
        <v>0</v>
      </c>
      <c r="D22" s="53">
        <f t="shared" si="0"/>
        <v>801614687.06</v>
      </c>
      <c r="E22" s="53">
        <v>22270279.439999998</v>
      </c>
      <c r="F22" s="54">
        <v>1000</v>
      </c>
      <c r="G22" s="53">
        <f>_xlfn.IFERROR((E22/F22/30)," ")</f>
        <v>742.3426479999999</v>
      </c>
      <c r="I22" s="53">
        <v>10021625.748000002</v>
      </c>
      <c r="J22" s="53">
        <v>2227027.9600000004</v>
      </c>
      <c r="K22" s="53">
        <v>10021625.740000002</v>
      </c>
    </row>
    <row r="23" spans="1:11" ht="12.75">
      <c r="A23" s="55">
        <v>44531</v>
      </c>
      <c r="B23" s="53">
        <v>852329387.5</v>
      </c>
      <c r="C23" s="53">
        <v>0</v>
      </c>
      <c r="D23" s="53">
        <f t="shared" si="0"/>
        <v>831583155.36</v>
      </c>
      <c r="E23" s="53">
        <v>20746232.14</v>
      </c>
      <c r="F23" s="54">
        <v>1000</v>
      </c>
      <c r="G23" s="53">
        <f>_xlfn.IFERROR((E23/F23/31)," ")</f>
        <v>669.2332948387096</v>
      </c>
      <c r="I23" s="53">
        <v>9335804.463</v>
      </c>
      <c r="J23" s="53">
        <v>2074623.2200000002</v>
      </c>
      <c r="K23" s="53">
        <v>9335804.44</v>
      </c>
    </row>
    <row r="24" spans="1:11" ht="12.75">
      <c r="A24" s="55">
        <v>44562</v>
      </c>
      <c r="B24" s="53">
        <v>803145280</v>
      </c>
      <c r="C24" s="53">
        <v>0</v>
      </c>
      <c r="D24" s="53">
        <f t="shared" si="0"/>
        <v>782296567.91</v>
      </c>
      <c r="E24" s="53">
        <v>20848712.089999996</v>
      </c>
      <c r="F24" s="54">
        <v>1000</v>
      </c>
      <c r="G24" s="53">
        <f>_xlfn.IFERROR((E24/F24/31)," ")</f>
        <v>672.5390996774192</v>
      </c>
      <c r="I24" s="53">
        <v>9381920.440499997</v>
      </c>
      <c r="J24" s="53">
        <v>2084871.2000000002</v>
      </c>
      <c r="K24" s="53">
        <v>9381920.429999998</v>
      </c>
    </row>
    <row r="25" spans="1:11" ht="12.75">
      <c r="A25" s="55">
        <v>44593</v>
      </c>
      <c r="B25" s="53">
        <v>769342654.5</v>
      </c>
      <c r="C25" s="53">
        <v>0</v>
      </c>
      <c r="D25" s="53">
        <f t="shared" si="0"/>
        <v>748344536.1</v>
      </c>
      <c r="E25" s="53">
        <v>20998118.4</v>
      </c>
      <c r="F25" s="54">
        <v>1000</v>
      </c>
      <c r="G25" s="53">
        <f>_xlfn.IFERROR((E25/F25/28)," ")</f>
        <v>749.9327999999999</v>
      </c>
      <c r="I25" s="53">
        <v>9449153.28</v>
      </c>
      <c r="J25" s="53">
        <v>2099811.83</v>
      </c>
      <c r="K25" s="53">
        <v>9449153.300000003</v>
      </c>
    </row>
    <row r="26" spans="1:11" ht="12.75">
      <c r="A26" s="55">
        <v>44621</v>
      </c>
      <c r="B26" s="53">
        <v>846370406.5</v>
      </c>
      <c r="C26" s="53">
        <v>0</v>
      </c>
      <c r="D26" s="53">
        <f t="shared" si="0"/>
        <v>823565864.92</v>
      </c>
      <c r="E26" s="53">
        <v>22804541.579999994</v>
      </c>
      <c r="F26" s="54">
        <v>1000</v>
      </c>
      <c r="G26" s="53">
        <f>_xlfn.IFERROR((E26/F26/31)," ")</f>
        <v>735.6303735483868</v>
      </c>
      <c r="I26" s="53">
        <v>10262043.711</v>
      </c>
      <c r="J26" s="53">
        <v>2280454.1199999996</v>
      </c>
      <c r="K26" s="53">
        <v>10262043.689999996</v>
      </c>
    </row>
    <row r="27" spans="1:11" ht="13.5" thickBot="1">
      <c r="A27" s="81" t="s">
        <v>15</v>
      </c>
      <c r="B27" s="78">
        <f>SUM(B15:B26)</f>
        <v>9949843461.51</v>
      </c>
      <c r="C27" s="78">
        <f>SUM(C15:C26)</f>
        <v>0</v>
      </c>
      <c r="D27" s="78">
        <f>SUM(D15:D26)</f>
        <v>9686448359.025</v>
      </c>
      <c r="E27" s="78">
        <f>SUM(E15:E26)</f>
        <v>263395102.485</v>
      </c>
      <c r="F27" s="80">
        <f>AVERAGE(F15:F26)</f>
        <v>1000</v>
      </c>
      <c r="G27" s="78">
        <f>AVERAGE(G15:G26)</f>
        <v>721.8290959901433</v>
      </c>
      <c r="H27" s="79"/>
      <c r="I27" s="78">
        <f>SUM(I15:I26)</f>
        <v>118527796.11724998</v>
      </c>
      <c r="J27" s="78">
        <f>SUM(J15:J26)</f>
        <v>26339510.250000004</v>
      </c>
      <c r="K27" s="78">
        <f>SUM(K15:K26)</f>
        <v>118527796.13999999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0.9735277139279709</v>
      </c>
      <c r="E29" s="75">
        <f>_xlfn.IFERROR(E27/B27,"")</f>
        <v>0.026472286072029002</v>
      </c>
      <c r="I29" s="75">
        <f>_xlfn.IFERROR(I27/$E$27,"")</f>
        <v>0.4499999999962033</v>
      </c>
      <c r="J29" s="75">
        <f>_xlfn.IFERROR(J27/$E$27,"")</f>
        <v>0.10000000000569488</v>
      </c>
      <c r="K29" s="75">
        <f>_xlfn.IFERROR(K27/$E$27,"")</f>
        <v>0.4500000000825755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43922</v>
      </c>
      <c r="B15" s="53">
        <v>0</v>
      </c>
      <c r="C15" s="53">
        <v>0</v>
      </c>
      <c r="D15" s="53">
        <f aca="true" t="shared" si="0" ref="D15:D26">IF(ISBLANK(B15),"",B15-C15-E15)</f>
        <v>0</v>
      </c>
      <c r="E15" s="53">
        <v>0</v>
      </c>
      <c r="F15" s="54">
        <v>0</v>
      </c>
      <c r="G15" s="53">
        <v>0</v>
      </c>
      <c r="I15" s="53">
        <v>0</v>
      </c>
      <c r="J15" s="53">
        <v>0</v>
      </c>
      <c r="K15" s="53">
        <v>0</v>
      </c>
    </row>
    <row r="16" spans="1:11" ht="12.75">
      <c r="A16" s="55">
        <v>43952</v>
      </c>
      <c r="B16" s="53">
        <v>0</v>
      </c>
      <c r="C16" s="53">
        <v>0</v>
      </c>
      <c r="D16" s="53">
        <v>0</v>
      </c>
      <c r="E16" s="53">
        <v>0</v>
      </c>
      <c r="F16" s="54">
        <v>0</v>
      </c>
      <c r="G16" s="53">
        <v>0</v>
      </c>
      <c r="I16" s="53">
        <v>0</v>
      </c>
      <c r="J16" s="53">
        <v>0</v>
      </c>
      <c r="K16" s="53">
        <v>0</v>
      </c>
    </row>
    <row r="17" spans="1:11" ht="12.75">
      <c r="A17" s="55">
        <v>43983</v>
      </c>
      <c r="B17" s="53">
        <v>0</v>
      </c>
      <c r="C17" s="53">
        <v>0</v>
      </c>
      <c r="D17" s="53">
        <v>0</v>
      </c>
      <c r="E17" s="53">
        <v>0</v>
      </c>
      <c r="F17" s="54">
        <v>0</v>
      </c>
      <c r="G17" s="53">
        <v>0</v>
      </c>
      <c r="I17" s="53">
        <v>0</v>
      </c>
      <c r="J17" s="53">
        <v>0</v>
      </c>
      <c r="K17" s="53">
        <v>0</v>
      </c>
    </row>
    <row r="18" spans="1:11" ht="12.75">
      <c r="A18" s="55">
        <v>44013</v>
      </c>
      <c r="B18" s="53">
        <v>0</v>
      </c>
      <c r="C18" s="53">
        <v>0</v>
      </c>
      <c r="D18" s="53">
        <v>0</v>
      </c>
      <c r="E18" s="53">
        <v>0</v>
      </c>
      <c r="F18" s="54">
        <v>0</v>
      </c>
      <c r="G18" s="53">
        <v>0</v>
      </c>
      <c r="I18" s="53">
        <v>0</v>
      </c>
      <c r="J18" s="53">
        <v>0</v>
      </c>
      <c r="K18" s="53">
        <v>0</v>
      </c>
    </row>
    <row r="19" spans="1:11" ht="12.75">
      <c r="A19" s="55">
        <v>44044</v>
      </c>
      <c r="B19" s="53">
        <v>0</v>
      </c>
      <c r="C19" s="53">
        <v>0</v>
      </c>
      <c r="D19" s="53">
        <v>0</v>
      </c>
      <c r="E19" s="53">
        <v>0</v>
      </c>
      <c r="F19" s="54">
        <v>0</v>
      </c>
      <c r="G19" s="53">
        <v>0</v>
      </c>
      <c r="I19" s="53">
        <v>0</v>
      </c>
      <c r="J19" s="53">
        <v>0</v>
      </c>
      <c r="K19" s="53">
        <v>0</v>
      </c>
    </row>
    <row r="20" spans="1:11" ht="12.75">
      <c r="A20" s="55">
        <v>44075</v>
      </c>
      <c r="B20" s="53">
        <v>485207990.5</v>
      </c>
      <c r="C20" s="53">
        <v>0</v>
      </c>
      <c r="D20" s="53">
        <f t="shared" si="0"/>
        <v>472484844.5</v>
      </c>
      <c r="E20" s="53">
        <v>12723145.999999996</v>
      </c>
      <c r="F20" s="54">
        <v>802</v>
      </c>
      <c r="G20" s="53">
        <f>_xlfn.IFERROR((E20/F20/22)," ")</f>
        <v>721.1032645658579</v>
      </c>
      <c r="I20" s="53">
        <v>5725415.699999997</v>
      </c>
      <c r="J20" s="53">
        <v>1272314.59</v>
      </c>
      <c r="K20" s="53">
        <v>5725415.67</v>
      </c>
    </row>
    <row r="21" spans="1:11" ht="12.75">
      <c r="A21" s="55">
        <v>44105</v>
      </c>
      <c r="B21" s="53">
        <v>951981041.21</v>
      </c>
      <c r="C21" s="53">
        <v>554761.42</v>
      </c>
      <c r="D21" s="53">
        <f t="shared" si="0"/>
        <v>921174504.8600001</v>
      </c>
      <c r="E21" s="53">
        <v>30251774.93</v>
      </c>
      <c r="F21" s="54">
        <v>1000</v>
      </c>
      <c r="G21" s="53">
        <f>_xlfn.IFERROR((E21/F21/31)," ")</f>
        <v>975.8637074193548</v>
      </c>
      <c r="I21" s="53">
        <v>13613298.72</v>
      </c>
      <c r="J21" s="53">
        <v>3025177.48</v>
      </c>
      <c r="K21" s="53">
        <v>13613298.7</v>
      </c>
    </row>
    <row r="22" spans="1:11" ht="12.75">
      <c r="A22" s="55">
        <v>44136</v>
      </c>
      <c r="B22" s="53">
        <v>695259046.1800001</v>
      </c>
      <c r="C22" s="53">
        <v>64653.45</v>
      </c>
      <c r="D22" s="53">
        <f t="shared" si="0"/>
        <v>675393218.88</v>
      </c>
      <c r="E22" s="53">
        <v>19801173.849999994</v>
      </c>
      <c r="F22" s="54">
        <v>1000</v>
      </c>
      <c r="G22" s="53">
        <f>_xlfn.IFERROR((E22/F22/30)," ")</f>
        <v>660.0391283333332</v>
      </c>
      <c r="I22" s="53">
        <v>8910528.2325</v>
      </c>
      <c r="J22" s="53">
        <v>1980117.3699999999</v>
      </c>
      <c r="K22" s="53">
        <v>8910528.24</v>
      </c>
    </row>
    <row r="23" spans="1:11" ht="12.75">
      <c r="A23" s="55">
        <v>44166</v>
      </c>
      <c r="B23" s="53">
        <v>620845182.5</v>
      </c>
      <c r="C23" s="53">
        <v>0</v>
      </c>
      <c r="D23" s="53">
        <f t="shared" si="0"/>
        <v>604662554.46</v>
      </c>
      <c r="E23" s="53">
        <v>16182628.040000007</v>
      </c>
      <c r="F23" s="54">
        <v>1000</v>
      </c>
      <c r="G23" s="53">
        <f>_xlfn.IFERROR((E23/F23/31)," ")</f>
        <v>522.0202593548389</v>
      </c>
      <c r="I23" s="53">
        <v>7282182.618000004</v>
      </c>
      <c r="J23" s="53">
        <v>1618262.82</v>
      </c>
      <c r="K23" s="53">
        <v>7282182.609999999</v>
      </c>
    </row>
    <row r="24" spans="1:11" ht="12.75">
      <c r="A24" s="55">
        <v>44197</v>
      </c>
      <c r="B24" s="53">
        <v>588565774</v>
      </c>
      <c r="C24" s="53">
        <v>0</v>
      </c>
      <c r="D24" s="53">
        <f t="shared" si="0"/>
        <v>571167684.22</v>
      </c>
      <c r="E24" s="53">
        <v>17398089.779999994</v>
      </c>
      <c r="F24" s="54">
        <v>1000</v>
      </c>
      <c r="G24" s="53">
        <f>_xlfn.IFERROR((E24/F24/31)," ")</f>
        <v>561.228702580645</v>
      </c>
      <c r="I24" s="53">
        <v>7829140.400999997</v>
      </c>
      <c r="J24" s="53">
        <v>1739808.9899999998</v>
      </c>
      <c r="K24" s="53">
        <v>7829140.41</v>
      </c>
    </row>
    <row r="25" spans="1:11" ht="12.75">
      <c r="A25" s="55">
        <v>44228</v>
      </c>
      <c r="B25" s="53">
        <v>530671607</v>
      </c>
      <c r="C25" s="53">
        <v>0</v>
      </c>
      <c r="D25" s="53">
        <f t="shared" si="0"/>
        <v>515888991.90999997</v>
      </c>
      <c r="E25" s="53">
        <v>14782615.090000004</v>
      </c>
      <c r="F25" s="54">
        <f>28000/28</f>
        <v>1000</v>
      </c>
      <c r="G25" s="53">
        <f>_xlfn.IFERROR((E25/F25/28)," ")</f>
        <v>527.9505389285715</v>
      </c>
      <c r="I25" s="53">
        <v>6652176.790500002</v>
      </c>
      <c r="J25" s="53">
        <v>1478261.5</v>
      </c>
      <c r="K25" s="53">
        <v>6652176.78</v>
      </c>
    </row>
    <row r="26" spans="1:11" ht="12.75">
      <c r="A26" s="55">
        <v>44256</v>
      </c>
      <c r="B26" s="53">
        <v>706847677</v>
      </c>
      <c r="C26" s="53">
        <v>0</v>
      </c>
      <c r="D26" s="53">
        <f t="shared" si="0"/>
        <v>686264286.41</v>
      </c>
      <c r="E26" s="53">
        <v>20583390.59</v>
      </c>
      <c r="F26" s="54">
        <v>1000</v>
      </c>
      <c r="G26" s="53">
        <f>_xlfn.IFERROR((E26/F26/31)," ")</f>
        <v>663.9803416129032</v>
      </c>
      <c r="I26" s="53">
        <v>9262525.7655</v>
      </c>
      <c r="J26" s="53">
        <v>2058339.0899999996</v>
      </c>
      <c r="K26" s="53">
        <v>9262525.79</v>
      </c>
    </row>
    <row r="27" spans="1:11" ht="13.5" thickBot="1">
      <c r="A27" s="81" t="s">
        <v>15</v>
      </c>
      <c r="B27" s="78">
        <f>SUM(B15:B26)</f>
        <v>4579378318.39</v>
      </c>
      <c r="C27" s="78">
        <f>SUM(C15:C26)</f>
        <v>619414.87</v>
      </c>
      <c r="D27" s="78">
        <f>SUM(D15:D26)</f>
        <v>4447036085.24</v>
      </c>
      <c r="E27" s="78">
        <f>SUM(E15:E26)</f>
        <v>131722818.28</v>
      </c>
      <c r="F27" s="80">
        <f>SUM(F20:F26)/COUNT(F20:F26)</f>
        <v>971.7142857142857</v>
      </c>
      <c r="G27" s="78">
        <f>_xlfn.IFERROR(E27/F27/180," ")</f>
        <v>753.0952725995623</v>
      </c>
      <c r="H27" s="79"/>
      <c r="I27" s="78">
        <f>SUM(I15:I26)</f>
        <v>59275268.2275</v>
      </c>
      <c r="J27" s="78">
        <f>SUM(J15:J26)</f>
        <v>13172281.84</v>
      </c>
      <c r="K27" s="78">
        <f>SUM(K15:K26)</f>
        <v>59275268.199999996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0.00013526178160745876</v>
      </c>
      <c r="D29" s="75">
        <f>_xlfn.IFERROR(D27/B27,"")</f>
        <v>0.9711003931213683</v>
      </c>
      <c r="E29" s="75">
        <f>_xlfn.IFERROR(E27/B27,"")</f>
        <v>0.02876434509702413</v>
      </c>
      <c r="I29" s="75">
        <f>_xlfn.IFERROR(I27/$E$27,"")</f>
        <v>0.4500000000113875</v>
      </c>
      <c r="J29" s="75">
        <f>_xlfn.IFERROR(J27/$E$27,"")</f>
        <v>0.10000000009110038</v>
      </c>
      <c r="K29" s="75">
        <f>_xlfn.IFERROR(K27/$E$27,"")</f>
        <v>0.4499999998026158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5" customHeight="1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spans="1:6" s="98" customFormat="1" ht="18" customHeight="1">
      <c r="A68" s="97" t="s">
        <v>53</v>
      </c>
      <c r="F68" s="99"/>
    </row>
    <row r="71" ht="12.75">
      <c r="D71" s="98"/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9.8515625" style="54" customWidth="1"/>
    <col min="7" max="7" width="10.7109375" style="53" customWidth="1"/>
    <col min="8" max="8" width="2.57421875" style="53" customWidth="1"/>
    <col min="9" max="10" width="12.7109375" style="53" bestFit="1" customWidth="1"/>
    <col min="11" max="11" width="13.28125" style="53" customWidth="1"/>
    <col min="12" max="16384" width="9.140625" style="52" customWidth="1"/>
  </cols>
  <sheetData>
    <row r="1" spans="1:11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</row>
    <row r="8" spans="1:11" s="94" customFormat="1" ht="14.25" customHeight="1">
      <c r="A8" s="101" t="s">
        <v>72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</row>
    <row r="10" spans="1:11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</row>
    <row r="11" spans="1:13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M11" s="91"/>
    </row>
    <row r="12" spans="1:11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38</v>
      </c>
      <c r="K12" s="87" t="s">
        <v>37</v>
      </c>
    </row>
    <row r="13" spans="1:11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39</v>
      </c>
      <c r="K13" s="83" t="s">
        <v>13</v>
      </c>
    </row>
    <row r="15" spans="1:11" ht="12.75">
      <c r="A15" s="55">
        <v>43556</v>
      </c>
      <c r="B15" s="53">
        <v>575906182.5</v>
      </c>
      <c r="C15" s="53">
        <v>0</v>
      </c>
      <c r="D15" s="53">
        <f aca="true" t="shared" si="0" ref="D15:D26">IF(ISBLANK(B15),"",B15-C15-E15)</f>
        <v>560625874.14</v>
      </c>
      <c r="E15" s="53">
        <v>15280308.36</v>
      </c>
      <c r="F15" s="54">
        <f>16020/30</f>
        <v>534</v>
      </c>
      <c r="G15" s="53">
        <f>_xlfn.IFERROR((E15/F15/30)," ")</f>
        <v>953.8269887640449</v>
      </c>
      <c r="I15" s="53">
        <v>6876138.76</v>
      </c>
      <c r="J15" s="53">
        <v>1528030.84</v>
      </c>
      <c r="K15" s="53">
        <v>6876138.7675</v>
      </c>
    </row>
    <row r="16" spans="1:11" ht="12.75">
      <c r="A16" s="55">
        <v>43586</v>
      </c>
      <c r="B16" s="53">
        <v>590726695.1</v>
      </c>
      <c r="C16" s="53">
        <v>0</v>
      </c>
      <c r="D16" s="53">
        <f t="shared" si="0"/>
        <v>575885279</v>
      </c>
      <c r="E16" s="53">
        <v>14841416.1</v>
      </c>
      <c r="F16" s="54">
        <f>17050/31</f>
        <v>550</v>
      </c>
      <c r="G16" s="53">
        <f>_xlfn.IFERROR((E16/F16/31)," ")</f>
        <v>870.4642873900293</v>
      </c>
      <c r="I16" s="53">
        <v>6678637.25</v>
      </c>
      <c r="J16" s="53">
        <v>1484141.63</v>
      </c>
      <c r="K16" s="53">
        <v>6678637.27</v>
      </c>
    </row>
    <row r="17" spans="1:11" ht="12.75">
      <c r="A17" s="55">
        <v>43617</v>
      </c>
      <c r="B17" s="53">
        <v>586835029.5</v>
      </c>
      <c r="C17" s="53">
        <v>0</v>
      </c>
      <c r="D17" s="53">
        <f t="shared" si="0"/>
        <v>571665414.06</v>
      </c>
      <c r="E17" s="53">
        <v>15169615.44</v>
      </c>
      <c r="F17" s="54">
        <f>17880/30</f>
        <v>596</v>
      </c>
      <c r="G17" s="53">
        <f>_xlfn.IFERROR((E17/F17/30)," ")</f>
        <v>848.4124966442953</v>
      </c>
      <c r="I17" s="53">
        <v>6826326.95</v>
      </c>
      <c r="J17" s="53">
        <v>1516961.53</v>
      </c>
      <c r="K17" s="53">
        <v>6826326.95</v>
      </c>
    </row>
    <row r="18" spans="1:11" ht="12.75">
      <c r="A18" s="55">
        <v>43647</v>
      </c>
      <c r="B18" s="53">
        <v>595918023.5</v>
      </c>
      <c r="C18" s="53">
        <v>0</v>
      </c>
      <c r="D18" s="53">
        <f t="shared" si="0"/>
        <v>578812965.11</v>
      </c>
      <c r="E18" s="53">
        <v>17105058.39</v>
      </c>
      <c r="F18" s="54">
        <f>18476/31</f>
        <v>596</v>
      </c>
      <c r="G18" s="53">
        <f aca="true" t="shared" si="1" ref="G18:G24">_xlfn.IFERROR((E18/F18/31)," ")</f>
        <v>925.7987870751246</v>
      </c>
      <c r="I18" s="53">
        <v>7697276.28</v>
      </c>
      <c r="J18" s="53">
        <v>1710505.85</v>
      </c>
      <c r="K18" s="53">
        <v>7697276.28</v>
      </c>
    </row>
    <row r="19" spans="1:11" ht="12.75">
      <c r="A19" s="55">
        <v>43678</v>
      </c>
      <c r="B19" s="53">
        <v>618239979.1</v>
      </c>
      <c r="C19" s="53">
        <v>0</v>
      </c>
      <c r="D19" s="53">
        <f t="shared" si="0"/>
        <v>602578237.48</v>
      </c>
      <c r="E19" s="53">
        <v>15661741.619999997</v>
      </c>
      <c r="F19" s="54">
        <f>18476/31</f>
        <v>596</v>
      </c>
      <c r="G19" s="53">
        <f t="shared" si="1"/>
        <v>847.6803214981596</v>
      </c>
      <c r="I19" s="53">
        <v>7047783.728999999</v>
      </c>
      <c r="J19" s="53">
        <v>1566174.1900000002</v>
      </c>
      <c r="K19" s="53">
        <v>7047783.720000002</v>
      </c>
    </row>
    <row r="20" spans="1:11" ht="12.75">
      <c r="A20" s="55">
        <v>43709</v>
      </c>
      <c r="B20" s="53">
        <v>629652179.4</v>
      </c>
      <c r="C20" s="53">
        <v>0</v>
      </c>
      <c r="D20" s="53">
        <f t="shared" si="0"/>
        <v>612699243.6399999</v>
      </c>
      <c r="E20" s="53">
        <v>16952935.76000011</v>
      </c>
      <c r="F20" s="54">
        <f>19900/30</f>
        <v>663.3333333333334</v>
      </c>
      <c r="G20" s="53">
        <f>_xlfn.IFERROR((E20/F20/30)," ")</f>
        <v>851.9063195979954</v>
      </c>
      <c r="I20" s="53">
        <v>7628821.09200005</v>
      </c>
      <c r="J20" s="53">
        <v>1695293.576000011</v>
      </c>
      <c r="K20" s="53">
        <v>7628821.09200005</v>
      </c>
    </row>
    <row r="21" spans="1:11" ht="12.75">
      <c r="A21" s="55">
        <v>43739</v>
      </c>
      <c r="B21" s="53">
        <v>873886754.8000002</v>
      </c>
      <c r="C21" s="53">
        <v>0</v>
      </c>
      <c r="D21" s="53">
        <f t="shared" si="0"/>
        <v>851827561.62</v>
      </c>
      <c r="E21" s="53">
        <v>22059193.180000186</v>
      </c>
      <c r="F21" s="54">
        <f>31000/31</f>
        <v>1000</v>
      </c>
      <c r="G21" s="53">
        <f t="shared" si="1"/>
        <v>711.5868767741996</v>
      </c>
      <c r="I21" s="53">
        <v>9926636.931000004</v>
      </c>
      <c r="J21" s="53">
        <v>2205919.34</v>
      </c>
      <c r="K21" s="53">
        <v>9926636.94</v>
      </c>
    </row>
    <row r="22" spans="1:11" ht="12.75">
      <c r="A22" s="55">
        <v>43770</v>
      </c>
      <c r="B22" s="53">
        <v>868447404.5</v>
      </c>
      <c r="C22" s="53">
        <v>0</v>
      </c>
      <c r="D22" s="53">
        <f t="shared" si="0"/>
        <v>846761671.92</v>
      </c>
      <c r="E22" s="53">
        <v>21685732.580000006</v>
      </c>
      <c r="F22" s="54">
        <f>30000/30</f>
        <v>1000</v>
      </c>
      <c r="G22" s="53">
        <f>_xlfn.IFERROR((E22/F22/30)," ")</f>
        <v>722.8577526666669</v>
      </c>
      <c r="I22" s="53">
        <v>9758579.661000002</v>
      </c>
      <c r="J22" s="53">
        <v>2168573.27</v>
      </c>
      <c r="K22" s="53">
        <v>9758579.67</v>
      </c>
    </row>
    <row r="23" spans="1:11" ht="12.75">
      <c r="A23" s="55">
        <v>43800</v>
      </c>
      <c r="B23" s="53">
        <v>953921027</v>
      </c>
      <c r="C23" s="53">
        <v>0</v>
      </c>
      <c r="D23" s="53">
        <f t="shared" si="0"/>
        <v>930697898.18</v>
      </c>
      <c r="E23" s="53">
        <v>23223128.820000004</v>
      </c>
      <c r="F23" s="54">
        <f>31000/31</f>
        <v>1000</v>
      </c>
      <c r="G23" s="53">
        <f t="shared" si="1"/>
        <v>749.1331877419357</v>
      </c>
      <c r="I23" s="53">
        <v>10450407.969</v>
      </c>
      <c r="J23" s="53">
        <v>2322312.92</v>
      </c>
      <c r="K23" s="53">
        <v>10450407.969999999</v>
      </c>
    </row>
    <row r="24" spans="1:11" ht="12.75">
      <c r="A24" s="55">
        <v>43831</v>
      </c>
      <c r="B24" s="53">
        <v>939349286</v>
      </c>
      <c r="C24" s="53">
        <v>0</v>
      </c>
      <c r="D24" s="53">
        <f t="shared" si="0"/>
        <v>915964228.03</v>
      </c>
      <c r="E24" s="53">
        <v>23385057.97</v>
      </c>
      <c r="F24" s="54">
        <f>31000/31</f>
        <v>1000</v>
      </c>
      <c r="G24" s="53">
        <f t="shared" si="1"/>
        <v>754.3567087096774</v>
      </c>
      <c r="I24" s="53">
        <v>10523276.09</v>
      </c>
      <c r="J24" s="53">
        <v>2338505.8</v>
      </c>
      <c r="K24" s="53">
        <v>10523276.1</v>
      </c>
    </row>
    <row r="25" spans="1:11" ht="12.75">
      <c r="A25" s="55">
        <v>43862</v>
      </c>
      <c r="B25" s="53">
        <v>899148107.5</v>
      </c>
      <c r="C25" s="53">
        <v>0</v>
      </c>
      <c r="D25" s="53">
        <f t="shared" si="0"/>
        <v>876168104.27</v>
      </c>
      <c r="E25" s="53">
        <v>22980003.23</v>
      </c>
      <c r="F25" s="54">
        <f>29000/29</f>
        <v>1000</v>
      </c>
      <c r="G25" s="53">
        <f>_xlfn.IFERROR((E25/F25/29)," ")</f>
        <v>792.4139044827587</v>
      </c>
      <c r="I25" s="53">
        <v>10341001.453500003</v>
      </c>
      <c r="J25" s="53">
        <v>2298000.3200000003</v>
      </c>
      <c r="K25" s="53">
        <v>10341001.440000003</v>
      </c>
    </row>
    <row r="26" spans="1:11" ht="12.75">
      <c r="A26" s="55">
        <v>43891</v>
      </c>
      <c r="B26" s="53">
        <v>371735346</v>
      </c>
      <c r="C26" s="53">
        <v>0</v>
      </c>
      <c r="D26" s="53">
        <f t="shared" si="0"/>
        <v>362338108.39</v>
      </c>
      <c r="E26" s="53">
        <v>9397237.609999996</v>
      </c>
      <c r="F26" s="54">
        <f>15000/15</f>
        <v>1000</v>
      </c>
      <c r="G26" s="53">
        <f>_xlfn.IFERROR((E26/F26/15)," ")</f>
        <v>626.482507333333</v>
      </c>
      <c r="I26" s="53">
        <v>4228756.924499999</v>
      </c>
      <c r="J26" s="53">
        <v>939723.7600000002</v>
      </c>
      <c r="K26" s="53">
        <v>4228756.919999999</v>
      </c>
    </row>
    <row r="27" spans="1:11" ht="13.5" thickBot="1">
      <c r="A27" s="81" t="s">
        <v>15</v>
      </c>
      <c r="B27" s="78">
        <f>SUM(B15:B26)</f>
        <v>8503766014.9</v>
      </c>
      <c r="C27" s="78">
        <f>SUM(C15:C26)</f>
        <v>0</v>
      </c>
      <c r="D27" s="78">
        <f>SUM(D15:D26)</f>
        <v>8286024585.840001</v>
      </c>
      <c r="E27" s="78">
        <f>SUM(E15:E26)</f>
        <v>217741429.06000027</v>
      </c>
      <c r="F27" s="80">
        <f>_xlfn.IFERROR(AVERAGE(F15:F26),"")</f>
        <v>794.6111111111112</v>
      </c>
      <c r="G27" s="78">
        <f>E27/F27/351</f>
        <v>780.6912627618027</v>
      </c>
      <c r="H27" s="79"/>
      <c r="I27" s="78">
        <f>SUM(I15:I26)</f>
        <v>97983643.09000006</v>
      </c>
      <c r="J27" s="78">
        <f>SUM(J15:J26)</f>
        <v>21774143.02600001</v>
      </c>
      <c r="K27" s="78">
        <f>SUM(K15:K26)</f>
        <v>97983643.11950006</v>
      </c>
    </row>
    <row r="28" spans="2:11" ht="10.5" customHeight="1" thickTop="1">
      <c r="B28" s="77"/>
      <c r="C28" s="77"/>
      <c r="D28" s="77"/>
      <c r="E28" s="77"/>
      <c r="I28" s="77"/>
      <c r="J28" s="77"/>
      <c r="K28" s="77"/>
    </row>
    <row r="29" spans="1:11" s="74" customFormat="1" ht="12.75">
      <c r="A29" s="76"/>
      <c r="B29" s="75"/>
      <c r="C29" s="75">
        <f>_xlfn.IFERROR(C27/B27,"")</f>
        <v>0</v>
      </c>
      <c r="D29" s="75">
        <f>_xlfn.IFERROR(D27/B27,"")</f>
        <v>0.9743947059833867</v>
      </c>
      <c r="E29" s="75">
        <f>_xlfn.IFERROR(E27/B27,"")</f>
        <v>0.02560529401661351</v>
      </c>
      <c r="I29" s="75">
        <f>_xlfn.IFERROR(I27/$E$27,"")</f>
        <v>0.4500000000597036</v>
      </c>
      <c r="J29" s="75">
        <f>_xlfn.IFERROR(J27/$E$27,"")</f>
        <v>0.10000000055111233</v>
      </c>
      <c r="K29" s="75">
        <f>_xlfn.IFERROR(K27/$E$27,"")</f>
        <v>0.4500000001951853</v>
      </c>
    </row>
    <row r="31" spans="1:11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ht="12.75">
      <c r="A32" s="57"/>
    </row>
    <row r="33" spans="1:11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</row>
    <row r="34" spans="1:11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</row>
    <row r="35" spans="1:11" ht="6" customHeight="1">
      <c r="A35" s="73"/>
      <c r="B35" s="71"/>
      <c r="C35" s="71"/>
      <c r="F35" s="71"/>
      <c r="G35" s="71"/>
      <c r="H35" s="71"/>
      <c r="I35" s="71"/>
      <c r="J35" s="71"/>
      <c r="K35" s="71"/>
    </row>
    <row r="36" spans="1:11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</row>
    <row r="37" spans="1:11" ht="6" customHeight="1">
      <c r="A37" s="73"/>
      <c r="B37" s="71"/>
      <c r="C37" s="71"/>
      <c r="F37" s="71"/>
      <c r="G37" s="71"/>
      <c r="H37" s="71"/>
      <c r="I37" s="71"/>
      <c r="J37" s="71"/>
      <c r="K37" s="71"/>
    </row>
    <row r="38" spans="1:11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</row>
    <row r="39" spans="1:11" ht="6" customHeight="1">
      <c r="A39" s="73"/>
      <c r="B39" s="71"/>
      <c r="C39" s="71"/>
      <c r="F39" s="71"/>
      <c r="G39" s="71"/>
      <c r="H39" s="71"/>
      <c r="I39" s="71"/>
      <c r="J39" s="71"/>
      <c r="K39" s="71"/>
    </row>
    <row r="40" spans="1:11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</row>
    <row r="41" spans="1:11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</row>
    <row r="42" spans="1:11" ht="6" customHeight="1">
      <c r="A42" s="73"/>
      <c r="B42" s="71"/>
      <c r="C42" s="71"/>
      <c r="F42" s="72"/>
      <c r="G42" s="71"/>
      <c r="H42" s="71"/>
      <c r="I42" s="71"/>
      <c r="J42" s="71"/>
      <c r="K42" s="71"/>
    </row>
    <row r="43" spans="1:11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</row>
    <row r="44" spans="1:11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</row>
    <row r="45" spans="1:11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</row>
    <row r="46" spans="1:11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</row>
    <row r="47" spans="1:11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</row>
    <row r="48" spans="1:11" s="36" customFormat="1" ht="4.5" customHeight="1">
      <c r="A48" s="32"/>
      <c r="B48" s="33"/>
      <c r="C48" s="33"/>
      <c r="D48" s="34"/>
      <c r="E48" s="35"/>
      <c r="F48" s="33"/>
      <c r="G48" s="33"/>
      <c r="H48" s="33"/>
      <c r="I48" s="33"/>
      <c r="J48" s="33"/>
      <c r="K48" s="33"/>
    </row>
    <row r="49" spans="1:11" s="36" customFormat="1" ht="12.75" customHeight="1">
      <c r="A49" s="32"/>
      <c r="B49" s="33"/>
      <c r="C49" s="22" t="s">
        <v>74</v>
      </c>
      <c r="D49" s="96"/>
      <c r="E49" s="35"/>
      <c r="F49" s="33"/>
      <c r="G49" s="33"/>
      <c r="H49" s="33"/>
      <c r="I49" s="33"/>
      <c r="J49" s="33"/>
      <c r="K49" s="33"/>
    </row>
    <row r="50" spans="1:11" s="36" customFormat="1" ht="12.75" customHeight="1">
      <c r="A50" s="32"/>
      <c r="B50" s="33"/>
      <c r="C50" s="22" t="s">
        <v>73</v>
      </c>
      <c r="D50" s="96"/>
      <c r="E50" s="35"/>
      <c r="F50" s="33"/>
      <c r="G50" s="33"/>
      <c r="H50" s="33"/>
      <c r="I50" s="33"/>
      <c r="J50" s="33"/>
      <c r="K50" s="33"/>
    </row>
    <row r="51" spans="1:11" ht="6" customHeight="1">
      <c r="A51" s="73"/>
      <c r="B51" s="71"/>
      <c r="C51" s="71"/>
      <c r="F51" s="72"/>
      <c r="G51" s="71"/>
      <c r="H51" s="71"/>
      <c r="I51" s="71"/>
      <c r="J51" s="71"/>
      <c r="K51" s="71"/>
    </row>
    <row r="52" spans="1:11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</row>
    <row r="53" spans="1:11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</row>
    <row r="54" spans="1:11" ht="12.75">
      <c r="A54" s="70"/>
      <c r="B54" s="68"/>
      <c r="C54" s="68"/>
      <c r="D54" s="68"/>
      <c r="E54" s="68"/>
      <c r="F54" s="69"/>
      <c r="G54" s="68"/>
      <c r="H54" s="68"/>
      <c r="I54" s="68"/>
      <c r="J54" s="68"/>
      <c r="K54" s="68"/>
    </row>
    <row r="55" spans="1:11" s="67" customFormat="1" ht="12.75">
      <c r="A55" s="101" t="s">
        <v>25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ht="12.75">
      <c r="A56" s="57"/>
    </row>
    <row r="57" spans="1:11" ht="13.5">
      <c r="A57" s="66"/>
      <c r="B57" s="63"/>
      <c r="C57" s="65" t="s">
        <v>4</v>
      </c>
      <c r="D57" s="65" t="s">
        <v>38</v>
      </c>
      <c r="E57" s="103" t="s">
        <v>44</v>
      </c>
      <c r="F57" s="103"/>
      <c r="G57" s="103"/>
      <c r="H57" s="103"/>
      <c r="I57" s="103"/>
      <c r="J57" s="103"/>
      <c r="K57" s="52"/>
    </row>
    <row r="58" spans="1:11" ht="12.75">
      <c r="A58" s="64"/>
      <c r="B58" s="63"/>
      <c r="C58" s="61" t="s">
        <v>12</v>
      </c>
      <c r="D58" s="61" t="s">
        <v>39</v>
      </c>
      <c r="E58" s="61" t="s">
        <v>45</v>
      </c>
      <c r="F58" s="61" t="s">
        <v>46</v>
      </c>
      <c r="G58" s="61" t="s">
        <v>47</v>
      </c>
      <c r="H58" s="62"/>
      <c r="I58" s="61" t="s">
        <v>49</v>
      </c>
      <c r="J58" s="61" t="s">
        <v>48</v>
      </c>
      <c r="K58" s="52"/>
    </row>
    <row r="59" spans="1:11" ht="12.75">
      <c r="A59" s="57"/>
      <c r="B59" s="60"/>
      <c r="C59" s="58">
        <v>0.45</v>
      </c>
      <c r="D59" s="58">
        <v>0.1</v>
      </c>
      <c r="E59" s="58">
        <v>0.4</v>
      </c>
      <c r="F59" s="58">
        <v>0.023</v>
      </c>
      <c r="G59" s="58">
        <v>0.005</v>
      </c>
      <c r="H59" s="59"/>
      <c r="I59" s="58">
        <v>0.009</v>
      </c>
      <c r="J59" s="58">
        <v>0.013</v>
      </c>
      <c r="K59" s="52"/>
    </row>
    <row r="60" spans="2:11" ht="12.75">
      <c r="B60" s="60"/>
      <c r="D60" s="58"/>
      <c r="E60" s="58"/>
      <c r="F60" s="58"/>
      <c r="G60" s="58"/>
      <c r="H60" s="59"/>
      <c r="I60" s="58"/>
      <c r="J60" s="58"/>
      <c r="K60" s="58"/>
    </row>
    <row r="61" spans="1:11" ht="12.75">
      <c r="A61" s="57" t="s">
        <v>70</v>
      </c>
      <c r="B61" s="60"/>
      <c r="D61" s="58"/>
      <c r="E61" s="58"/>
      <c r="F61" s="58"/>
      <c r="G61" s="58"/>
      <c r="H61" s="59"/>
      <c r="I61" s="58"/>
      <c r="J61" s="58"/>
      <c r="K61" s="58"/>
    </row>
    <row r="62" spans="1:11" ht="12.75">
      <c r="A62" s="56" t="s">
        <v>71</v>
      </c>
      <c r="B62" s="60"/>
      <c r="D62" s="58"/>
      <c r="E62" s="58"/>
      <c r="F62" s="58"/>
      <c r="G62" s="58"/>
      <c r="H62" s="59"/>
      <c r="I62" s="58"/>
      <c r="J62" s="58"/>
      <c r="K62" s="58"/>
    </row>
    <row r="63" spans="1:11" ht="12.75">
      <c r="A63" s="57"/>
      <c r="B63" s="60"/>
      <c r="D63" s="58"/>
      <c r="E63" s="58"/>
      <c r="F63" s="58"/>
      <c r="G63" s="58"/>
      <c r="H63" s="59"/>
      <c r="I63" s="58"/>
      <c r="J63" s="58"/>
      <c r="K63" s="58"/>
    </row>
    <row r="64" spans="1:11" ht="12.75">
      <c r="A64" s="57" t="s">
        <v>62</v>
      </c>
      <c r="B64" s="60"/>
      <c r="D64" s="58"/>
      <c r="E64" s="58"/>
      <c r="F64" s="58"/>
      <c r="G64" s="58"/>
      <c r="H64" s="59"/>
      <c r="I64" s="58"/>
      <c r="J64" s="58"/>
      <c r="K64" s="58"/>
    </row>
    <row r="65" ht="12.75">
      <c r="A65" s="57"/>
    </row>
    <row r="66" ht="12.75">
      <c r="A66" s="56" t="s">
        <v>67</v>
      </c>
    </row>
    <row r="67" ht="12.75">
      <c r="A67" s="57"/>
    </row>
    <row r="68" ht="12.75">
      <c r="A68" s="56" t="s">
        <v>53</v>
      </c>
    </row>
  </sheetData>
  <sheetProtection/>
  <mergeCells count="10">
    <mergeCell ref="I10:K10"/>
    <mergeCell ref="A31:K31"/>
    <mergeCell ref="A55:K55"/>
    <mergeCell ref="E57:J57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81" r:id="rId3"/>
  <ignoredErrors>
    <ignoredError sqref="G16:G2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3">
      <selection activeCell="F27" sqref="F27:G27"/>
    </sheetView>
  </sheetViews>
  <sheetFormatPr defaultColWidth="9.140625" defaultRowHeight="12.75"/>
  <cols>
    <col min="1" max="1" width="9.28125" style="55" customWidth="1"/>
    <col min="2" max="2" width="15.421875" style="53" bestFit="1" customWidth="1"/>
    <col min="3" max="3" width="13.140625" style="53" customWidth="1"/>
    <col min="4" max="4" width="15.421875" style="53" bestFit="1" customWidth="1"/>
    <col min="5" max="5" width="12.7109375" style="53" customWidth="1"/>
    <col min="6" max="6" width="8.28125" style="54" bestFit="1" customWidth="1"/>
    <col min="7" max="7" width="10.7109375" style="53" customWidth="1"/>
    <col min="8" max="8" width="1.421875" style="53" customWidth="1"/>
    <col min="9" max="10" width="12.7109375" style="53" bestFit="1" customWidth="1"/>
    <col min="11" max="11" width="12.00390625" style="53" customWidth="1"/>
    <col min="12" max="12" width="12.28125" style="53" customWidth="1"/>
    <col min="13" max="13" width="12.7109375" style="52" customWidth="1"/>
    <col min="14" max="16384" width="9.140625" style="52" customWidth="1"/>
  </cols>
  <sheetData>
    <row r="1" spans="1:13" ht="18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2" ht="1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90" customFormat="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90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90" customFormat="1" ht="14.25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s="90" customFormat="1" ht="14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90" customFormat="1" ht="12.75">
      <c r="A7" s="55"/>
      <c r="B7" s="93"/>
      <c r="C7" s="93"/>
      <c r="D7" s="93"/>
      <c r="E7" s="91"/>
      <c r="F7" s="92"/>
      <c r="G7" s="91"/>
      <c r="H7" s="91"/>
      <c r="I7" s="91"/>
      <c r="J7" s="91"/>
      <c r="K7" s="91"/>
      <c r="L7" s="91"/>
    </row>
    <row r="8" spans="1:13" s="94" customFormat="1" ht="14.25" customHeight="1">
      <c r="A8" s="101" t="s">
        <v>69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8"/>
    </row>
    <row r="9" spans="1:12" s="90" customFormat="1" ht="9" customHeight="1">
      <c r="A9" s="55"/>
      <c r="B9" s="93"/>
      <c r="C9" s="93"/>
      <c r="D9" s="93"/>
      <c r="E9" s="91"/>
      <c r="F9" s="92"/>
      <c r="G9" s="91"/>
      <c r="H9" s="91"/>
      <c r="I9" s="91"/>
      <c r="J9" s="91"/>
      <c r="K9" s="91"/>
      <c r="L9" s="91"/>
    </row>
    <row r="10" spans="1:13" s="90" customFormat="1" ht="12.75">
      <c r="A10" s="55"/>
      <c r="B10" s="91"/>
      <c r="C10" s="91"/>
      <c r="D10" s="91"/>
      <c r="E10" s="91"/>
      <c r="F10" s="92"/>
      <c r="G10" s="91"/>
      <c r="H10" s="91"/>
      <c r="I10" s="100" t="s">
        <v>0</v>
      </c>
      <c r="J10" s="100"/>
      <c r="K10" s="100"/>
      <c r="L10" s="100"/>
      <c r="M10" s="100"/>
    </row>
    <row r="11" spans="1:12" s="90" customFormat="1" ht="7.5" customHeight="1">
      <c r="A11" s="55"/>
      <c r="B11" s="91"/>
      <c r="C11" s="91"/>
      <c r="D11" s="91"/>
      <c r="E11" s="91"/>
      <c r="F11" s="92"/>
      <c r="G11" s="91"/>
      <c r="H11" s="91"/>
      <c r="I11" s="91"/>
      <c r="J11" s="91"/>
      <c r="K11" s="91"/>
      <c r="L11" s="91"/>
    </row>
    <row r="12" spans="1:13" s="82" customFormat="1" ht="12">
      <c r="A12" s="89"/>
      <c r="B12" s="87" t="s">
        <v>1</v>
      </c>
      <c r="C12" s="87" t="s">
        <v>26</v>
      </c>
      <c r="D12" s="87" t="s">
        <v>1</v>
      </c>
      <c r="E12" s="87"/>
      <c r="F12" s="88" t="s">
        <v>2</v>
      </c>
      <c r="G12" s="87" t="s">
        <v>3</v>
      </c>
      <c r="H12" s="87"/>
      <c r="I12" s="87" t="s">
        <v>4</v>
      </c>
      <c r="J12" s="87" t="s">
        <v>37</v>
      </c>
      <c r="K12" s="87" t="s">
        <v>5</v>
      </c>
      <c r="L12" s="87" t="s">
        <v>38</v>
      </c>
      <c r="M12" s="87" t="s">
        <v>56</v>
      </c>
    </row>
    <row r="13" spans="1:13" s="82" customFormat="1" ht="12">
      <c r="A13" s="86" t="s">
        <v>6</v>
      </c>
      <c r="B13" s="83" t="s">
        <v>7</v>
      </c>
      <c r="C13" s="83" t="s">
        <v>14</v>
      </c>
      <c r="D13" s="83" t="s">
        <v>8</v>
      </c>
      <c r="E13" s="83" t="s">
        <v>9</v>
      </c>
      <c r="F13" s="85" t="s">
        <v>10</v>
      </c>
      <c r="G13" s="83" t="s">
        <v>11</v>
      </c>
      <c r="H13" s="84"/>
      <c r="I13" s="83" t="s">
        <v>12</v>
      </c>
      <c r="J13" s="83" t="s">
        <v>13</v>
      </c>
      <c r="K13" s="83" t="s">
        <v>14</v>
      </c>
      <c r="L13" s="83" t="s">
        <v>39</v>
      </c>
      <c r="M13" s="83" t="s">
        <v>57</v>
      </c>
    </row>
    <row r="14" ht="12.75">
      <c r="M14" s="53"/>
    </row>
    <row r="15" spans="1:13" ht="12.75">
      <c r="A15" s="55">
        <v>43191</v>
      </c>
      <c r="B15" s="53">
        <v>512083295</v>
      </c>
      <c r="C15" s="53">
        <v>0</v>
      </c>
      <c r="D15" s="53">
        <f aca="true" t="shared" si="0" ref="D15:D26">IF(ISBLANK(B15),"",B15-C15-E15)</f>
        <v>497946065.6</v>
      </c>
      <c r="E15" s="53">
        <v>14137229.4</v>
      </c>
      <c r="F15" s="54">
        <f>IF(ISBLANK(B15),"",15150/30)</f>
        <v>505</v>
      </c>
      <c r="G15" s="53">
        <f>IF(ISBLANK(B15),"",E15/F15/30)</f>
        <v>933.1504554455446</v>
      </c>
      <c r="I15" s="53">
        <v>6361753.23</v>
      </c>
      <c r="J15" s="53">
        <v>4948030.28</v>
      </c>
      <c r="K15" s="53">
        <v>1413722.96</v>
      </c>
      <c r="L15" s="53">
        <v>1413722.94</v>
      </c>
      <c r="M15" s="53">
        <v>0</v>
      </c>
    </row>
    <row r="16" spans="1:13" ht="12.75">
      <c r="A16" s="55">
        <v>43221</v>
      </c>
      <c r="B16" s="53">
        <v>551615004</v>
      </c>
      <c r="C16" s="53">
        <v>0</v>
      </c>
      <c r="D16" s="53">
        <f t="shared" si="0"/>
        <v>538055490.9</v>
      </c>
      <c r="E16" s="53">
        <v>13559513.1</v>
      </c>
      <c r="F16" s="54">
        <f>15655/31</f>
        <v>505</v>
      </c>
      <c r="G16" s="53">
        <f>IF(ISBLANK(B16),"",E16/F16/31)</f>
        <v>866.1458383902906</v>
      </c>
      <c r="I16" s="53">
        <v>6101780.9</v>
      </c>
      <c r="J16" s="53">
        <v>4745829.55</v>
      </c>
      <c r="K16" s="53">
        <v>1355951.3</v>
      </c>
      <c r="L16" s="53">
        <v>1355951.3</v>
      </c>
      <c r="M16" s="53">
        <v>0</v>
      </c>
    </row>
    <row r="17" spans="1:13" ht="12.75">
      <c r="A17" s="55">
        <v>43252</v>
      </c>
      <c r="B17" s="53">
        <v>513970121</v>
      </c>
      <c r="C17" s="53">
        <v>0</v>
      </c>
      <c r="D17" s="53">
        <f t="shared" si="0"/>
        <v>502326967.6</v>
      </c>
      <c r="E17" s="53">
        <v>11643153.4</v>
      </c>
      <c r="F17" s="54">
        <f>15150/30</f>
        <v>505</v>
      </c>
      <c r="G17" s="53">
        <f aca="true" t="shared" si="1" ref="G17:G22">IF(ISBLANK(B17),"",E17/F17/30)</f>
        <v>768.5249768976898</v>
      </c>
      <c r="I17" s="53">
        <v>5239419.03</v>
      </c>
      <c r="J17" s="53">
        <v>4075103.69</v>
      </c>
      <c r="K17" s="53">
        <v>1164315.34</v>
      </c>
      <c r="L17" s="53">
        <v>1164315.34</v>
      </c>
      <c r="M17" s="53">
        <v>0</v>
      </c>
    </row>
    <row r="18" spans="1:13" ht="12.75">
      <c r="A18" s="55">
        <v>43282</v>
      </c>
      <c r="B18" s="53">
        <v>552056016.5</v>
      </c>
      <c r="C18" s="53">
        <v>0</v>
      </c>
      <c r="D18" s="53">
        <f t="shared" si="0"/>
        <v>538526185.9</v>
      </c>
      <c r="E18" s="53">
        <v>13529830.6</v>
      </c>
      <c r="F18" s="54">
        <f>15655/31</f>
        <v>505</v>
      </c>
      <c r="G18" s="53">
        <f>IF(ISBLANK(B18),"",E18/F18/31)</f>
        <v>864.2497987863303</v>
      </c>
      <c r="I18" s="53">
        <v>6088423.77</v>
      </c>
      <c r="J18" s="53">
        <v>4735440.71</v>
      </c>
      <c r="K18" s="53">
        <v>1352983.07</v>
      </c>
      <c r="L18" s="53">
        <v>1352983.06</v>
      </c>
      <c r="M18" s="53">
        <v>0</v>
      </c>
    </row>
    <row r="19" spans="1:13" ht="12.75">
      <c r="A19" s="55">
        <v>43313</v>
      </c>
      <c r="B19" s="53">
        <v>522478078</v>
      </c>
      <c r="C19" s="53">
        <v>0</v>
      </c>
      <c r="D19" s="53">
        <f t="shared" si="0"/>
        <v>508491975.4</v>
      </c>
      <c r="E19" s="53">
        <v>13986102.6</v>
      </c>
      <c r="F19" s="54">
        <f>15655/31</f>
        <v>505</v>
      </c>
      <c r="G19" s="53">
        <f>IF(ISBLANK(B19),"",E19/F19/31)</f>
        <v>893.3952475247524</v>
      </c>
      <c r="I19" s="53">
        <v>6293746.17</v>
      </c>
      <c r="J19" s="53">
        <v>4895135.9</v>
      </c>
      <c r="K19" s="53">
        <v>1398610.27</v>
      </c>
      <c r="L19" s="53">
        <v>1398610.26</v>
      </c>
      <c r="M19" s="53">
        <v>0</v>
      </c>
    </row>
    <row r="20" spans="1:13" ht="12.75">
      <c r="A20" s="55">
        <v>43344</v>
      </c>
      <c r="B20" s="53">
        <v>539216915.5</v>
      </c>
      <c r="C20" s="53">
        <v>0</v>
      </c>
      <c r="D20" s="53">
        <f t="shared" si="0"/>
        <v>526840876.05</v>
      </c>
      <c r="E20" s="53">
        <v>12376039.45</v>
      </c>
      <c r="F20" s="54">
        <f>15150/30</f>
        <v>505</v>
      </c>
      <c r="G20" s="53">
        <f t="shared" si="1"/>
        <v>816.900293729373</v>
      </c>
      <c r="I20" s="53">
        <v>5569217.75</v>
      </c>
      <c r="J20" s="53">
        <v>4331613.8</v>
      </c>
      <c r="K20" s="53">
        <v>1237604.01</v>
      </c>
      <c r="L20" s="53">
        <v>1237603.95</v>
      </c>
      <c r="M20" s="53">
        <v>0</v>
      </c>
    </row>
    <row r="21" spans="1:13" ht="12.75">
      <c r="A21" s="55">
        <v>43374</v>
      </c>
      <c r="B21" s="53">
        <v>581019589</v>
      </c>
      <c r="C21" s="53">
        <v>0</v>
      </c>
      <c r="D21" s="53">
        <f t="shared" si="0"/>
        <v>567743186</v>
      </c>
      <c r="E21" s="53">
        <v>13276403</v>
      </c>
      <c r="F21" s="54">
        <f>15655/31</f>
        <v>505</v>
      </c>
      <c r="G21" s="53">
        <f>IF(ISBLANK(B21),"",E21/F21/31)</f>
        <v>848.0615138933248</v>
      </c>
      <c r="I21" s="53">
        <v>5974381.35</v>
      </c>
      <c r="J21" s="53">
        <v>4646741.05</v>
      </c>
      <c r="K21" s="53">
        <v>1327640.32</v>
      </c>
      <c r="L21" s="53">
        <v>1327640.3</v>
      </c>
      <c r="M21" s="53">
        <v>0</v>
      </c>
    </row>
    <row r="22" spans="1:13" ht="12.75">
      <c r="A22" s="55">
        <v>43405</v>
      </c>
      <c r="B22" s="53">
        <v>563294167</v>
      </c>
      <c r="C22" s="53">
        <v>0</v>
      </c>
      <c r="D22" s="53">
        <f t="shared" si="0"/>
        <v>549459028.4</v>
      </c>
      <c r="E22" s="53">
        <v>13835138.6</v>
      </c>
      <c r="F22" s="54">
        <f>15150/30</f>
        <v>505</v>
      </c>
      <c r="G22" s="53">
        <f t="shared" si="1"/>
        <v>913.2104686468647</v>
      </c>
      <c r="I22" s="53">
        <v>6225812.37</v>
      </c>
      <c r="J22" s="53">
        <v>4842298.48</v>
      </c>
      <c r="K22" s="53">
        <v>1383513.84</v>
      </c>
      <c r="L22" s="53">
        <v>1383513.86</v>
      </c>
      <c r="M22" s="53">
        <v>0</v>
      </c>
    </row>
    <row r="23" spans="1:13" ht="12.75">
      <c r="A23" s="55">
        <v>43435</v>
      </c>
      <c r="B23" s="53">
        <v>585142016</v>
      </c>
      <c r="C23" s="53">
        <v>0</v>
      </c>
      <c r="D23" s="53">
        <f t="shared" si="0"/>
        <v>570218619.55</v>
      </c>
      <c r="E23" s="53">
        <v>14923396.45</v>
      </c>
      <c r="F23" s="54">
        <f>15655/31</f>
        <v>505</v>
      </c>
      <c r="G23" s="53">
        <f>IF(ISBLANK(B23),"",E23/F23/31)</f>
        <v>953.2670999680612</v>
      </c>
      <c r="I23" s="53">
        <v>6715528.4</v>
      </c>
      <c r="J23" s="53">
        <v>5223188.76</v>
      </c>
      <c r="K23" s="53">
        <v>1492339.67</v>
      </c>
      <c r="L23" s="53">
        <v>1492339.65</v>
      </c>
      <c r="M23" s="53">
        <v>0</v>
      </c>
    </row>
    <row r="24" spans="1:13" ht="12.75">
      <c r="A24" s="55">
        <v>43466</v>
      </c>
      <c r="B24" s="53">
        <v>584022260.5</v>
      </c>
      <c r="C24" s="53">
        <v>0</v>
      </c>
      <c r="D24" s="53">
        <f t="shared" si="0"/>
        <v>570237177.5</v>
      </c>
      <c r="E24" s="53">
        <v>13785083</v>
      </c>
      <c r="F24" s="54">
        <f>15655/31</f>
        <v>505</v>
      </c>
      <c r="G24" s="53">
        <f>IF(ISBLANK(B24),"",E24/F24/31)</f>
        <v>880.554647077611</v>
      </c>
      <c r="I24" s="53">
        <v>6203287.35</v>
      </c>
      <c r="J24" s="53">
        <v>4824779.05</v>
      </c>
      <c r="K24" s="53">
        <v>1378508.31</v>
      </c>
      <c r="L24" s="53">
        <v>1378508.3</v>
      </c>
      <c r="M24" s="53">
        <v>0</v>
      </c>
    </row>
    <row r="25" spans="1:13" ht="12.75">
      <c r="A25" s="55">
        <v>43497</v>
      </c>
      <c r="B25" s="53">
        <v>531500881</v>
      </c>
      <c r="C25" s="53">
        <v>0</v>
      </c>
      <c r="D25" s="53">
        <f t="shared" si="0"/>
        <v>517652654.44</v>
      </c>
      <c r="E25" s="53">
        <v>13848226.56</v>
      </c>
      <c r="F25" s="54">
        <f>14575/28</f>
        <v>520.5357142857143</v>
      </c>
      <c r="G25" s="53">
        <f>IF(ISBLANK(B25),"",E25/F25/28)</f>
        <v>950.1356130360206</v>
      </c>
      <c r="I25" s="53">
        <v>6231701.95</v>
      </c>
      <c r="J25" s="53">
        <v>4846879.29</v>
      </c>
      <c r="K25" s="53">
        <v>1384822.65</v>
      </c>
      <c r="L25" s="53">
        <v>1384822.66</v>
      </c>
      <c r="M25" s="53">
        <v>0</v>
      </c>
    </row>
    <row r="26" spans="1:13" ht="12.75">
      <c r="A26" s="55">
        <v>43525</v>
      </c>
      <c r="B26" s="53">
        <v>597008830</v>
      </c>
      <c r="C26" s="53">
        <v>0</v>
      </c>
      <c r="D26" s="53">
        <f t="shared" si="0"/>
        <v>581976752.55</v>
      </c>
      <c r="E26" s="53">
        <v>15032077.45</v>
      </c>
      <c r="F26" s="54">
        <v>534</v>
      </c>
      <c r="G26" s="53">
        <f>_xlfn.IFERROR((E26/F26/31)," ")</f>
        <v>908.0631539205026</v>
      </c>
      <c r="I26" s="53">
        <v>6764435</v>
      </c>
      <c r="J26" s="53">
        <v>5261227</v>
      </c>
      <c r="K26" s="53">
        <v>1503207.5</v>
      </c>
      <c r="L26" s="53">
        <v>1503207.5</v>
      </c>
      <c r="M26" s="53">
        <v>0</v>
      </c>
    </row>
    <row r="27" spans="1:13" ht="13.5" thickBot="1">
      <c r="A27" s="81" t="s">
        <v>15</v>
      </c>
      <c r="B27" s="78">
        <f>SUM(B15:B26)</f>
        <v>6633407173.5</v>
      </c>
      <c r="C27" s="78">
        <f>SUM(C15:C26)</f>
        <v>0</v>
      </c>
      <c r="D27" s="78">
        <f>SUM(D15:D26)</f>
        <v>6469474979.89</v>
      </c>
      <c r="E27" s="78">
        <f>SUM(E15:E26)</f>
        <v>163932193.60999998</v>
      </c>
      <c r="F27" s="80">
        <f>AVERAGE(F15:F26)</f>
        <v>508.7113095238096</v>
      </c>
      <c r="G27" s="78">
        <f>AVERAGE(G15:G26)</f>
        <v>882.9715922763636</v>
      </c>
      <c r="H27" s="79"/>
      <c r="I27" s="78">
        <f>SUM(I15:I26)</f>
        <v>73769487.27000001</v>
      </c>
      <c r="J27" s="78">
        <f>SUM(J15:J26)</f>
        <v>57376267.56</v>
      </c>
      <c r="K27" s="78">
        <f>SUM(K15:K26)</f>
        <v>16393219.24</v>
      </c>
      <c r="L27" s="78">
        <f>SUM(L15:L26)</f>
        <v>16393219.120000001</v>
      </c>
      <c r="M27" s="78">
        <f>SUM(M15:M26)</f>
        <v>0</v>
      </c>
    </row>
    <row r="28" spans="2:12" ht="10.5" customHeight="1" thickTop="1">
      <c r="B28" s="77"/>
      <c r="C28" s="77"/>
      <c r="D28" s="77"/>
      <c r="E28" s="77"/>
      <c r="I28" s="77"/>
      <c r="J28" s="77"/>
      <c r="K28" s="77"/>
      <c r="L28" s="77"/>
    </row>
    <row r="29" spans="1:13" s="74" customFormat="1" ht="12.75">
      <c r="A29" s="76"/>
      <c r="B29" s="75"/>
      <c r="C29" s="75">
        <f>C27/B27</f>
        <v>0</v>
      </c>
      <c r="D29" s="75">
        <f>D27/B27</f>
        <v>0.9752868790770304</v>
      </c>
      <c r="E29" s="75">
        <f>E27/B27</f>
        <v>0.024713120922969675</v>
      </c>
      <c r="I29" s="75">
        <f>I27/$E$27</f>
        <v>0.4500000008875622</v>
      </c>
      <c r="J29" s="75">
        <f>J27/$E$27</f>
        <v>0.34999999875863314</v>
      </c>
      <c r="K29" s="75">
        <f>K27/$E$27</f>
        <v>0.09999999926188996</v>
      </c>
      <c r="L29" s="75">
        <f>L27/$E$27</f>
        <v>0.09999999852988</v>
      </c>
      <c r="M29" s="75">
        <f>M27/$E$27</f>
        <v>0</v>
      </c>
    </row>
    <row r="31" spans="1:13" s="67" customFormat="1" ht="12.75">
      <c r="A31" s="101" t="s">
        <v>16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8"/>
    </row>
    <row r="32" ht="12.75">
      <c r="A32" s="57"/>
    </row>
    <row r="33" spans="1:12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6" customHeight="1">
      <c r="A35" s="73"/>
      <c r="B35" s="71"/>
      <c r="C35" s="71"/>
      <c r="F35" s="71"/>
      <c r="G35" s="71"/>
      <c r="H35" s="71"/>
      <c r="I35" s="71"/>
      <c r="J35" s="71"/>
      <c r="K35" s="71"/>
      <c r="L35" s="71"/>
    </row>
    <row r="36" spans="1:13" ht="12.75">
      <c r="A36" s="73" t="s">
        <v>52</v>
      </c>
      <c r="B36" s="71"/>
      <c r="C36" s="71" t="s">
        <v>43</v>
      </c>
      <c r="F36" s="71"/>
      <c r="G36" s="71"/>
      <c r="H36" s="71"/>
      <c r="I36" s="71"/>
      <c r="J36" s="71"/>
      <c r="K36" s="71"/>
      <c r="L36" s="71"/>
      <c r="M36" s="71"/>
    </row>
    <row r="37" spans="1:12" ht="6" customHeight="1">
      <c r="A37" s="73"/>
      <c r="B37" s="71"/>
      <c r="C37" s="71"/>
      <c r="F37" s="71"/>
      <c r="G37" s="71"/>
      <c r="H37" s="71"/>
      <c r="I37" s="71"/>
      <c r="J37" s="71"/>
      <c r="K37" s="71"/>
      <c r="L37" s="71"/>
    </row>
    <row r="38" spans="1:12" ht="12.75">
      <c r="A38" s="73" t="s">
        <v>18</v>
      </c>
      <c r="B38" s="71"/>
      <c r="C38" s="45" t="s">
        <v>54</v>
      </c>
      <c r="F38" s="71"/>
      <c r="G38" s="71"/>
      <c r="H38" s="71"/>
      <c r="I38" s="71"/>
      <c r="J38" s="71"/>
      <c r="K38" s="71"/>
      <c r="L38" s="71"/>
    </row>
    <row r="39" spans="1:12" ht="6" customHeight="1">
      <c r="A39" s="73"/>
      <c r="B39" s="71"/>
      <c r="C39" s="71"/>
      <c r="F39" s="71"/>
      <c r="G39" s="71"/>
      <c r="H39" s="71"/>
      <c r="I39" s="71"/>
      <c r="J39" s="71"/>
      <c r="K39" s="71"/>
      <c r="L39" s="71"/>
    </row>
    <row r="40" spans="1:12" ht="12.75">
      <c r="A40" s="73" t="s">
        <v>19</v>
      </c>
      <c r="B40" s="71"/>
      <c r="C40" s="71" t="s">
        <v>20</v>
      </c>
      <c r="F40" s="72"/>
      <c r="G40" s="71"/>
      <c r="H40" s="71"/>
      <c r="I40" s="71"/>
      <c r="J40" s="71"/>
      <c r="K40" s="71"/>
      <c r="L40" s="71"/>
    </row>
    <row r="41" spans="1:12" ht="12.75">
      <c r="A41" s="73"/>
      <c r="B41" s="71"/>
      <c r="C41" s="71" t="s">
        <v>21</v>
      </c>
      <c r="F41" s="72"/>
      <c r="G41" s="71"/>
      <c r="H41" s="71"/>
      <c r="I41" s="71"/>
      <c r="J41" s="71"/>
      <c r="K41" s="71"/>
      <c r="L41" s="71"/>
    </row>
    <row r="42" spans="1:12" ht="6" customHeight="1">
      <c r="A42" s="73"/>
      <c r="B42" s="71"/>
      <c r="C42" s="71"/>
      <c r="F42" s="72"/>
      <c r="G42" s="71"/>
      <c r="H42" s="71"/>
      <c r="I42" s="71"/>
      <c r="J42" s="71"/>
      <c r="K42" s="71"/>
      <c r="L42" s="71"/>
    </row>
    <row r="43" spans="1:12" ht="12.75">
      <c r="A43" s="73" t="s">
        <v>22</v>
      </c>
      <c r="B43" s="71"/>
      <c r="C43" s="71" t="s">
        <v>23</v>
      </c>
      <c r="F43" s="72"/>
      <c r="G43" s="71"/>
      <c r="H43" s="71"/>
      <c r="I43" s="71"/>
      <c r="J43" s="71"/>
      <c r="K43" s="71"/>
      <c r="L43" s="71"/>
    </row>
    <row r="44" spans="1:12" ht="6" customHeight="1">
      <c r="A44" s="73"/>
      <c r="B44" s="71"/>
      <c r="C44" s="71"/>
      <c r="D44" s="71"/>
      <c r="F44" s="72"/>
      <c r="G44" s="71"/>
      <c r="H44" s="71"/>
      <c r="I44" s="71"/>
      <c r="J44" s="71"/>
      <c r="K44" s="71"/>
      <c r="L44" s="71"/>
    </row>
    <row r="45" spans="1:12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  <c r="L45" s="33"/>
    </row>
    <row r="46" spans="1:12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  <c r="L46" s="33"/>
    </row>
    <row r="47" spans="1:12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  <c r="L47" s="33"/>
    </row>
    <row r="48" spans="1:12" ht="6" customHeight="1">
      <c r="A48" s="73"/>
      <c r="B48" s="71"/>
      <c r="C48" s="71"/>
      <c r="D48" s="71"/>
      <c r="F48" s="72"/>
      <c r="G48" s="71"/>
      <c r="H48" s="71"/>
      <c r="I48" s="71"/>
      <c r="J48" s="71"/>
      <c r="K48" s="71"/>
      <c r="L48" s="71"/>
    </row>
    <row r="49" spans="1:12" s="36" customFormat="1" ht="12.75">
      <c r="A49" s="32" t="s">
        <v>24</v>
      </c>
      <c r="B49" s="33"/>
      <c r="C49" s="33" t="s">
        <v>29</v>
      </c>
      <c r="D49" s="34"/>
      <c r="E49" s="35"/>
      <c r="F49" s="33"/>
      <c r="G49" s="33"/>
      <c r="H49" s="33"/>
      <c r="I49" s="33"/>
      <c r="J49" s="33"/>
      <c r="K49" s="33"/>
      <c r="L49" s="33"/>
    </row>
    <row r="50" spans="1:12" s="36" customFormat="1" ht="12.75">
      <c r="A50" s="32"/>
      <c r="B50" s="33"/>
      <c r="C50" s="33" t="s">
        <v>30</v>
      </c>
      <c r="D50" s="34"/>
      <c r="E50" s="35"/>
      <c r="F50" s="33"/>
      <c r="G50" s="33"/>
      <c r="H50" s="33"/>
      <c r="I50" s="33"/>
      <c r="J50" s="33"/>
      <c r="K50" s="33"/>
      <c r="L50" s="33"/>
    </row>
    <row r="51" spans="1:12" ht="6" customHeight="1">
      <c r="A51" s="73"/>
      <c r="B51" s="71"/>
      <c r="C51" s="71"/>
      <c r="F51" s="72"/>
      <c r="G51" s="71"/>
      <c r="H51" s="71"/>
      <c r="I51" s="71"/>
      <c r="J51" s="71"/>
      <c r="K51" s="71"/>
      <c r="L51" s="71"/>
    </row>
    <row r="52" spans="1:12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  <c r="L52" s="33"/>
    </row>
    <row r="53" spans="1:12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  <c r="L53" s="33"/>
    </row>
    <row r="54" spans="1:12" s="36" customFormat="1" ht="12.75">
      <c r="A54" s="37"/>
      <c r="B54" s="33"/>
      <c r="C54" s="33"/>
      <c r="D54" s="34"/>
      <c r="E54" s="35"/>
      <c r="F54" s="33"/>
      <c r="G54" s="33"/>
      <c r="H54" s="33"/>
      <c r="I54" s="33"/>
      <c r="J54" s="33"/>
      <c r="K54" s="33"/>
      <c r="L54" s="33"/>
    </row>
    <row r="55" spans="1:13" s="36" customFormat="1" ht="12.75">
      <c r="A55" s="32" t="s">
        <v>58</v>
      </c>
      <c r="B55" s="33"/>
      <c r="C55" s="33" t="s">
        <v>59</v>
      </c>
      <c r="E55" s="34"/>
      <c r="F55" s="35"/>
      <c r="G55" s="33"/>
      <c r="H55" s="33"/>
      <c r="I55" s="33"/>
      <c r="J55" s="33"/>
      <c r="K55" s="33"/>
      <c r="L55" s="33"/>
      <c r="M55" s="34"/>
    </row>
    <row r="56" spans="1:13" s="36" customFormat="1" ht="12.75">
      <c r="A56" s="37"/>
      <c r="B56" s="33"/>
      <c r="C56" s="33" t="s">
        <v>64</v>
      </c>
      <c r="E56" s="34"/>
      <c r="F56" s="35"/>
      <c r="G56" s="33"/>
      <c r="H56" s="33"/>
      <c r="I56" s="33"/>
      <c r="J56" s="33"/>
      <c r="K56" s="33"/>
      <c r="L56" s="33"/>
      <c r="M56" s="34"/>
    </row>
    <row r="57" spans="1:13" s="36" customFormat="1" ht="12.75">
      <c r="A57" s="37"/>
      <c r="B57" s="33"/>
      <c r="C57" s="33" t="s">
        <v>65</v>
      </c>
      <c r="E57" s="34"/>
      <c r="F57" s="35"/>
      <c r="G57" s="33"/>
      <c r="H57" s="33"/>
      <c r="I57" s="33"/>
      <c r="J57" s="33"/>
      <c r="K57" s="33"/>
      <c r="L57" s="33"/>
      <c r="M57" s="34"/>
    </row>
    <row r="58" spans="1:12" ht="12.75">
      <c r="A58" s="70"/>
      <c r="B58" s="68"/>
      <c r="C58" s="68"/>
      <c r="D58" s="68"/>
      <c r="E58" s="68"/>
      <c r="F58" s="69"/>
      <c r="G58" s="68"/>
      <c r="H58" s="68"/>
      <c r="I58" s="68"/>
      <c r="J58" s="68"/>
      <c r="K58" s="68"/>
      <c r="L58" s="68"/>
    </row>
    <row r="59" spans="1:13" s="67" customFormat="1" ht="12.75">
      <c r="A59" s="101" t="s">
        <v>25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8"/>
    </row>
    <row r="60" ht="12.75">
      <c r="A60" s="57"/>
    </row>
    <row r="61" spans="1:13" ht="13.5">
      <c r="A61" s="66"/>
      <c r="B61" s="63"/>
      <c r="D61" s="65" t="s">
        <v>4</v>
      </c>
      <c r="E61" s="103" t="s">
        <v>44</v>
      </c>
      <c r="F61" s="103"/>
      <c r="G61" s="103"/>
      <c r="H61" s="103"/>
      <c r="I61" s="103"/>
      <c r="J61" s="103"/>
      <c r="K61" s="65" t="s">
        <v>5</v>
      </c>
      <c r="L61" s="65" t="s">
        <v>38</v>
      </c>
      <c r="M61" s="65" t="s">
        <v>56</v>
      </c>
    </row>
    <row r="62" spans="1:13" ht="12.75">
      <c r="A62" s="64"/>
      <c r="B62" s="63"/>
      <c r="D62" s="61" t="s">
        <v>12</v>
      </c>
      <c r="E62" s="61" t="s">
        <v>45</v>
      </c>
      <c r="F62" s="61" t="s">
        <v>46</v>
      </c>
      <c r="G62" s="61" t="s">
        <v>47</v>
      </c>
      <c r="H62" s="62"/>
      <c r="I62" s="61" t="s">
        <v>49</v>
      </c>
      <c r="J62" s="61" t="s">
        <v>48</v>
      </c>
      <c r="K62" s="61" t="s">
        <v>14</v>
      </c>
      <c r="L62" s="61" t="s">
        <v>39</v>
      </c>
      <c r="M62" s="61" t="s">
        <v>57</v>
      </c>
    </row>
    <row r="63" spans="1:13" ht="12.75">
      <c r="A63" s="57" t="s">
        <v>60</v>
      </c>
      <c r="B63" s="60"/>
      <c r="D63" s="58">
        <v>0.45</v>
      </c>
      <c r="E63" s="58">
        <v>0.3</v>
      </c>
      <c r="F63" s="58">
        <v>0.023</v>
      </c>
      <c r="G63" s="58">
        <v>0.005</v>
      </c>
      <c r="H63" s="59"/>
      <c r="I63" s="58">
        <v>0.009</v>
      </c>
      <c r="J63" s="58">
        <v>0.013</v>
      </c>
      <c r="K63" s="58">
        <v>0.1</v>
      </c>
      <c r="L63" s="58">
        <v>0.1</v>
      </c>
      <c r="M63" s="58">
        <v>0</v>
      </c>
    </row>
    <row r="64" spans="2:12" ht="12.75">
      <c r="B64" s="60"/>
      <c r="D64" s="58"/>
      <c r="E64" s="58"/>
      <c r="F64" s="58"/>
      <c r="G64" s="58"/>
      <c r="H64" s="59"/>
      <c r="I64" s="58"/>
      <c r="J64" s="58"/>
      <c r="K64" s="58"/>
      <c r="L64" s="58"/>
    </row>
    <row r="65" spans="1:12" ht="12.75">
      <c r="A65" s="57" t="s">
        <v>70</v>
      </c>
      <c r="B65" s="60"/>
      <c r="D65" s="58"/>
      <c r="E65" s="58"/>
      <c r="F65" s="58"/>
      <c r="G65" s="58"/>
      <c r="H65" s="59"/>
      <c r="I65" s="58"/>
      <c r="J65" s="58"/>
      <c r="K65" s="58"/>
      <c r="L65" s="58"/>
    </row>
    <row r="66" spans="1:12" ht="12.75">
      <c r="A66" s="56" t="s">
        <v>71</v>
      </c>
      <c r="B66" s="60"/>
      <c r="D66" s="58"/>
      <c r="E66" s="58"/>
      <c r="F66" s="58"/>
      <c r="G66" s="58"/>
      <c r="H66" s="59"/>
      <c r="I66" s="58"/>
      <c r="J66" s="58"/>
      <c r="K66" s="58"/>
      <c r="L66" s="58"/>
    </row>
    <row r="67" spans="1:12" ht="12.75">
      <c r="A67" s="57"/>
      <c r="B67" s="60"/>
      <c r="D67" s="58"/>
      <c r="E67" s="58"/>
      <c r="F67" s="58"/>
      <c r="G67" s="58"/>
      <c r="H67" s="59"/>
      <c r="I67" s="58"/>
      <c r="J67" s="58"/>
      <c r="K67" s="58"/>
      <c r="L67" s="58"/>
    </row>
    <row r="68" spans="1:12" ht="12.75">
      <c r="A68" s="57" t="s">
        <v>62</v>
      </c>
      <c r="B68" s="60"/>
      <c r="D68" s="58"/>
      <c r="E68" s="58"/>
      <c r="F68" s="58"/>
      <c r="G68" s="58"/>
      <c r="H68" s="59"/>
      <c r="I68" s="58"/>
      <c r="J68" s="58"/>
      <c r="K68" s="58"/>
      <c r="L68" s="58"/>
    </row>
    <row r="69" ht="12.75">
      <c r="A69" s="57"/>
    </row>
    <row r="70" ht="12.75">
      <c r="A70" s="56" t="s">
        <v>67</v>
      </c>
    </row>
    <row r="71" ht="12.75">
      <c r="A71" s="57"/>
    </row>
    <row r="72" ht="12.75">
      <c r="A72" s="56" t="s">
        <v>53</v>
      </c>
    </row>
  </sheetData>
  <sheetProtection/>
  <mergeCells count="10">
    <mergeCell ref="I10:M10"/>
    <mergeCell ref="A31:M31"/>
    <mergeCell ref="A59:M59"/>
    <mergeCell ref="E61:J61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ignoredErrors>
    <ignoredError sqref="G25 G16 G17 G18 G19 G20 G21 G22 G23 G2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3">
      <selection activeCell="B29" sqref="B29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3" ht="18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2" ht="15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" customFormat="1" ht="15">
      <c r="A3" s="115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1" customFormat="1" ht="14.25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0" t="s">
        <v>68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09" t="s">
        <v>0</v>
      </c>
      <c r="J10" s="109"/>
      <c r="K10" s="109"/>
      <c r="L10" s="109"/>
      <c r="M10" s="109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26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37</v>
      </c>
      <c r="K12" s="10" t="s">
        <v>5</v>
      </c>
      <c r="L12" s="10" t="s">
        <v>38</v>
      </c>
      <c r="M12" s="10" t="s">
        <v>56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39</v>
      </c>
      <c r="M13" s="8" t="s">
        <v>57</v>
      </c>
    </row>
    <row r="14" ht="12.75">
      <c r="M14" s="16"/>
    </row>
    <row r="15" spans="1:13" ht="12.75">
      <c r="A15" s="3">
        <v>42826</v>
      </c>
      <c r="B15" s="16">
        <v>510159711</v>
      </c>
      <c r="C15" s="16">
        <v>0</v>
      </c>
      <c r="D15" s="16">
        <f aca="true" t="shared" si="0" ref="D15:D26">+B15-C15-E15</f>
        <v>497736883.2</v>
      </c>
      <c r="E15" s="16">
        <v>12422827.8</v>
      </c>
      <c r="F15" s="17">
        <v>460</v>
      </c>
      <c r="G15" s="16">
        <f>+E15/F15/30</f>
        <v>900.2049130434783</v>
      </c>
      <c r="I15" s="16">
        <v>5590272.51</v>
      </c>
      <c r="J15" s="16">
        <v>4347989.7299999995</v>
      </c>
      <c r="K15" s="16">
        <v>1242282.7800000005</v>
      </c>
      <c r="L15" s="16">
        <v>1242282.7800000005</v>
      </c>
      <c r="M15" s="16">
        <v>0</v>
      </c>
    </row>
    <row r="16" spans="1:13" ht="12.75">
      <c r="A16" s="3">
        <v>42856</v>
      </c>
      <c r="B16" s="16">
        <v>541501277</v>
      </c>
      <c r="C16" s="16">
        <v>0</v>
      </c>
      <c r="D16" s="16">
        <f t="shared" si="0"/>
        <v>528964997.1</v>
      </c>
      <c r="E16" s="16">
        <v>12536279.9</v>
      </c>
      <c r="F16" s="17">
        <v>460</v>
      </c>
      <c r="G16" s="16">
        <f>+E16/F16/31</f>
        <v>879.122012622721</v>
      </c>
      <c r="I16" s="16">
        <v>5641325.955</v>
      </c>
      <c r="J16" s="16">
        <v>4387697.965</v>
      </c>
      <c r="K16" s="16">
        <v>1253627.99</v>
      </c>
      <c r="L16" s="16">
        <v>1253627.99</v>
      </c>
      <c r="M16" s="16">
        <v>0</v>
      </c>
    </row>
    <row r="17" spans="1:13" ht="12.75">
      <c r="A17" s="3">
        <v>42887</v>
      </c>
      <c r="B17" s="16">
        <v>530230406</v>
      </c>
      <c r="C17" s="16">
        <v>0</v>
      </c>
      <c r="D17" s="16">
        <f t="shared" si="0"/>
        <v>518273132.48</v>
      </c>
      <c r="E17" s="16">
        <v>11957273.520000003</v>
      </c>
      <c r="F17" s="17">
        <v>460</v>
      </c>
      <c r="G17" s="16">
        <f>+E17/F17/30</f>
        <v>866.4690956521741</v>
      </c>
      <c r="I17" s="16">
        <v>5380773.084</v>
      </c>
      <c r="J17" s="16">
        <v>4185045.732000001</v>
      </c>
      <c r="K17" s="16">
        <v>1195727.3520000004</v>
      </c>
      <c r="L17" s="16">
        <v>1195727.3520000004</v>
      </c>
      <c r="M17" s="16">
        <v>0</v>
      </c>
    </row>
    <row r="18" spans="1:13" ht="12.75">
      <c r="A18" s="3">
        <v>42917</v>
      </c>
      <c r="B18" s="16">
        <v>560691965</v>
      </c>
      <c r="C18" s="16">
        <v>0</v>
      </c>
      <c r="D18" s="16">
        <f t="shared" si="0"/>
        <v>548154591.78</v>
      </c>
      <c r="E18" s="16">
        <v>12537373.219999999</v>
      </c>
      <c r="F18" s="17">
        <v>460</v>
      </c>
      <c r="G18" s="16">
        <v>879</v>
      </c>
      <c r="I18" s="16">
        <v>5641817.949000001</v>
      </c>
      <c r="J18" s="16">
        <v>4388080.626999999</v>
      </c>
      <c r="K18" s="16">
        <v>1253737.322</v>
      </c>
      <c r="L18" s="16">
        <v>1253737.322</v>
      </c>
      <c r="M18" s="16">
        <v>0</v>
      </c>
    </row>
    <row r="19" spans="1:13" ht="12.75">
      <c r="A19" s="3">
        <v>42948</v>
      </c>
      <c r="B19" s="16">
        <v>549043097</v>
      </c>
      <c r="C19" s="16">
        <v>0</v>
      </c>
      <c r="D19" s="16">
        <f t="shared" si="0"/>
        <v>537129799.4300001</v>
      </c>
      <c r="E19" s="16">
        <v>11913297.56999999</v>
      </c>
      <c r="F19" s="17">
        <f>14260/31</f>
        <v>460</v>
      </c>
      <c r="G19" s="16">
        <v>835</v>
      </c>
      <c r="I19" s="16">
        <v>5360983.906499995</v>
      </c>
      <c r="J19" s="16">
        <v>4169654.1494999956</v>
      </c>
      <c r="K19" s="16">
        <v>1191329.756999999</v>
      </c>
      <c r="L19" s="16">
        <v>1191329.756999999</v>
      </c>
      <c r="M19" s="16">
        <v>0</v>
      </c>
    </row>
    <row r="20" spans="1:13" ht="12.75">
      <c r="A20" s="3">
        <v>42979</v>
      </c>
      <c r="B20" s="16">
        <v>493139901</v>
      </c>
      <c r="C20" s="16">
        <v>0</v>
      </c>
      <c r="D20" s="16">
        <f t="shared" si="0"/>
        <v>481176105.72</v>
      </c>
      <c r="E20" s="16">
        <v>11963795.279999994</v>
      </c>
      <c r="F20" s="17">
        <f>13800/30</f>
        <v>460</v>
      </c>
      <c r="G20" s="16">
        <f>+E20/F20/30</f>
        <v>866.9416869565213</v>
      </c>
      <c r="I20" s="16">
        <v>5383707.875999997</v>
      </c>
      <c r="J20" s="16">
        <v>4187328.347999998</v>
      </c>
      <c r="K20" s="16">
        <v>1196379.5279999995</v>
      </c>
      <c r="L20" s="16">
        <v>1196379.5279999995</v>
      </c>
      <c r="M20" s="16">
        <v>0</v>
      </c>
    </row>
    <row r="21" spans="1:13" ht="12.75">
      <c r="A21" s="3">
        <v>43009</v>
      </c>
      <c r="B21" s="16">
        <v>483358948</v>
      </c>
      <c r="C21" s="16">
        <v>0</v>
      </c>
      <c r="D21" s="16">
        <f t="shared" si="0"/>
        <v>470582275.89</v>
      </c>
      <c r="E21" s="16">
        <v>12776672.11</v>
      </c>
      <c r="F21" s="17">
        <f>14260/31</f>
        <v>460</v>
      </c>
      <c r="G21" s="16">
        <f>+E21/F21/31</f>
        <v>895.9798113604487</v>
      </c>
      <c r="I21" s="16">
        <v>5749502.449499999</v>
      </c>
      <c r="J21" s="16">
        <v>4471835.238500001</v>
      </c>
      <c r="K21" s="16">
        <v>1277667.2109999997</v>
      </c>
      <c r="L21" s="16">
        <v>1277667.2109999997</v>
      </c>
      <c r="M21" s="16">
        <v>0</v>
      </c>
    </row>
    <row r="22" spans="1:13" ht="12.75">
      <c r="A22" s="3">
        <v>43040</v>
      </c>
      <c r="B22" s="16">
        <v>436308079.5</v>
      </c>
      <c r="C22" s="16">
        <v>0</v>
      </c>
      <c r="D22" s="16">
        <f t="shared" si="0"/>
        <v>424688454.31</v>
      </c>
      <c r="E22" s="16">
        <v>11619625.189999998</v>
      </c>
      <c r="F22" s="17">
        <f>13800/30</f>
        <v>460</v>
      </c>
      <c r="G22" s="16">
        <f>+E22/F22/30</f>
        <v>842.0018253623186</v>
      </c>
      <c r="I22" s="16">
        <v>5228831.335499999</v>
      </c>
      <c r="J22" s="16">
        <v>4066868.816499999</v>
      </c>
      <c r="K22" s="16">
        <v>1161962.5189999996</v>
      </c>
      <c r="L22" s="16">
        <v>1161962.5189999996</v>
      </c>
      <c r="M22" s="16">
        <v>0</v>
      </c>
    </row>
    <row r="23" spans="1:13" ht="12.75">
      <c r="A23" s="3">
        <v>43070</v>
      </c>
      <c r="B23" s="16">
        <v>473635553</v>
      </c>
      <c r="C23" s="16">
        <v>0</v>
      </c>
      <c r="D23" s="16">
        <f t="shared" si="0"/>
        <v>461549781.63</v>
      </c>
      <c r="E23" s="16">
        <v>12085771.369999997</v>
      </c>
      <c r="F23" s="17">
        <f>14260/31</f>
        <v>460</v>
      </c>
      <c r="G23" s="16">
        <f>+E23/F23/31</f>
        <v>847.5295490883589</v>
      </c>
      <c r="I23" s="16">
        <v>5438597.116500001</v>
      </c>
      <c r="J23" s="16">
        <v>4230019.9794999985</v>
      </c>
      <c r="K23" s="16">
        <v>1208577.1369999996</v>
      </c>
      <c r="L23" s="16">
        <v>1208577.1369999996</v>
      </c>
      <c r="M23" s="16">
        <v>0</v>
      </c>
    </row>
    <row r="24" spans="1:13" ht="12.75">
      <c r="A24" s="3">
        <v>43101</v>
      </c>
      <c r="B24" s="16">
        <v>501272091</v>
      </c>
      <c r="C24" s="16">
        <v>0</v>
      </c>
      <c r="D24" s="16">
        <f t="shared" si="0"/>
        <v>488971918.34</v>
      </c>
      <c r="E24" s="16">
        <v>12300172.66</v>
      </c>
      <c r="F24" s="17">
        <f>14980/31</f>
        <v>483.2258064516129</v>
      </c>
      <c r="G24" s="16">
        <f>+E24/F24/31</f>
        <v>821.1063190921228</v>
      </c>
      <c r="I24" s="16">
        <v>5535077.697000002</v>
      </c>
      <c r="J24" s="16">
        <v>4305060.431</v>
      </c>
      <c r="K24" s="16">
        <v>1230017.256</v>
      </c>
      <c r="L24" s="16">
        <v>1230017.266</v>
      </c>
      <c r="M24" s="16">
        <v>0</v>
      </c>
    </row>
    <row r="25" spans="1:13" ht="12.75">
      <c r="A25" s="3">
        <v>43132</v>
      </c>
      <c r="B25" s="16">
        <v>482696902</v>
      </c>
      <c r="C25" s="16">
        <v>0</v>
      </c>
      <c r="D25" s="16">
        <f t="shared" si="0"/>
        <v>471150255.75</v>
      </c>
      <c r="E25" s="16">
        <v>11546646.250000002</v>
      </c>
      <c r="F25" s="17">
        <f>14140/28</f>
        <v>505</v>
      </c>
      <c r="G25" s="16">
        <f>+E25/F25/28</f>
        <v>816.5945014144273</v>
      </c>
      <c r="I25" s="16">
        <v>5195990.812499999</v>
      </c>
      <c r="J25" s="16">
        <v>4041326.192500001</v>
      </c>
      <c r="K25" s="16">
        <v>1154664.62</v>
      </c>
      <c r="L25" s="16">
        <v>1154664.63</v>
      </c>
      <c r="M25" s="16">
        <v>0</v>
      </c>
    </row>
    <row r="26" spans="1:13" ht="12.75">
      <c r="A26" s="3">
        <v>43160</v>
      </c>
      <c r="B26" s="16">
        <v>547090977.9</v>
      </c>
      <c r="C26" s="16">
        <v>0</v>
      </c>
      <c r="D26" s="16">
        <f t="shared" si="0"/>
        <v>532997046.45</v>
      </c>
      <c r="E26" s="16">
        <v>14093931.45</v>
      </c>
      <c r="F26" s="17">
        <v>505</v>
      </c>
      <c r="G26" s="16">
        <f>_xlfn.IFERROR((E26/F26/31)," ")</f>
        <v>900.2830693069307</v>
      </c>
      <c r="I26" s="16">
        <v>6342269</v>
      </c>
      <c r="J26" s="16">
        <v>4932876</v>
      </c>
      <c r="K26" s="16">
        <v>1409393.45</v>
      </c>
      <c r="L26" s="16">
        <v>1409393.45</v>
      </c>
      <c r="M26" s="16">
        <v>0</v>
      </c>
    </row>
    <row r="27" spans="1:13" ht="13.5" thickBot="1">
      <c r="A27" s="48" t="s">
        <v>15</v>
      </c>
      <c r="B27" s="49">
        <f>SUM(B15:B26)</f>
        <v>6109128908.4</v>
      </c>
      <c r="C27" s="49">
        <f>SUM(C15:C26)</f>
        <v>0</v>
      </c>
      <c r="D27" s="49">
        <f>SUM(D15:D26)</f>
        <v>5961375242.08</v>
      </c>
      <c r="E27" s="49">
        <f>SUM(E15:E26)</f>
        <v>147753666.31999996</v>
      </c>
      <c r="F27" s="51">
        <f>AVERAGE(F15:F26)</f>
        <v>469.43548387096774</v>
      </c>
      <c r="G27" s="49">
        <f>AVERAGE(G15:G26)</f>
        <v>862.5193986582917</v>
      </c>
      <c r="H27" s="50"/>
      <c r="I27" s="49">
        <f>SUM(I15:I26)</f>
        <v>66489149.6915</v>
      </c>
      <c r="J27" s="49">
        <f>SUM(J15:J26)</f>
        <v>51713783.20949999</v>
      </c>
      <c r="K27" s="49">
        <f>SUM(K15:K26)</f>
        <v>14775366.921999998</v>
      </c>
      <c r="L27" s="49">
        <f>SUM(L15:L26)</f>
        <v>14775366.941999998</v>
      </c>
      <c r="M27" s="49">
        <f>SUM(M15:M26)</f>
        <v>0</v>
      </c>
    </row>
    <row r="28" spans="2:12" ht="10.5" customHeight="1" thickTop="1">
      <c r="B28" s="18"/>
      <c r="C28" s="18"/>
      <c r="D28" s="18"/>
      <c r="E28" s="18"/>
      <c r="I28" s="18"/>
      <c r="J28" s="18"/>
      <c r="K28" s="18"/>
      <c r="L28" s="18"/>
    </row>
    <row r="29" spans="1:13" s="21" customFormat="1" ht="12.75">
      <c r="A29" s="19"/>
      <c r="B29" s="20"/>
      <c r="C29" s="20">
        <f>C27/B27</f>
        <v>0</v>
      </c>
      <c r="D29" s="20">
        <f>D27/B27</f>
        <v>0.975814282439377</v>
      </c>
      <c r="E29" s="20">
        <f>E27/B27</f>
        <v>0.024185717560623078</v>
      </c>
      <c r="I29" s="20">
        <f>I27/$E$27</f>
        <v>0.44999999896787685</v>
      </c>
      <c r="J29" s="20">
        <f>J27/$E$27</f>
        <v>0.34999999998307996</v>
      </c>
      <c r="K29" s="20">
        <f>K27/$E$27</f>
        <v>0.10000000196272626</v>
      </c>
      <c r="L29" s="20">
        <f>L27/$E$27</f>
        <v>0.1000000020980867</v>
      </c>
      <c r="M29" s="20">
        <f>M27/$E$27</f>
        <v>0</v>
      </c>
    </row>
    <row r="31" spans="1:13" s="22" customFormat="1" ht="12.75">
      <c r="A31" s="110" t="s">
        <v>16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ht="12.75">
      <c r="A32" s="23"/>
    </row>
    <row r="33" spans="1:12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6" customHeight="1">
      <c r="A35" s="24"/>
      <c r="B35" s="25"/>
      <c r="C35" s="25"/>
      <c r="F35" s="25"/>
      <c r="G35" s="25"/>
      <c r="H35" s="25"/>
      <c r="I35" s="25"/>
      <c r="J35" s="25"/>
      <c r="K35" s="25"/>
      <c r="L35" s="25"/>
    </row>
    <row r="36" spans="1:13" ht="12.75">
      <c r="A36" s="24" t="s">
        <v>52</v>
      </c>
      <c r="B36" s="25"/>
      <c r="C36" s="25" t="s">
        <v>43</v>
      </c>
      <c r="F36" s="25"/>
      <c r="G36" s="25"/>
      <c r="H36" s="25"/>
      <c r="I36" s="25"/>
      <c r="J36" s="25"/>
      <c r="K36" s="25"/>
      <c r="L36" s="25"/>
      <c r="M36" s="25"/>
    </row>
    <row r="37" spans="1:12" ht="6" customHeight="1">
      <c r="A37" s="24"/>
      <c r="B37" s="25"/>
      <c r="C37" s="25"/>
      <c r="F37" s="25"/>
      <c r="G37" s="25"/>
      <c r="H37" s="25"/>
      <c r="I37" s="25"/>
      <c r="J37" s="25"/>
      <c r="K37" s="25"/>
      <c r="L37" s="25"/>
    </row>
    <row r="38" spans="1:12" ht="12.75">
      <c r="A38" s="24" t="s">
        <v>18</v>
      </c>
      <c r="B38" s="25"/>
      <c r="C38" s="45" t="s">
        <v>54</v>
      </c>
      <c r="F38" s="25"/>
      <c r="G38" s="25"/>
      <c r="H38" s="25"/>
      <c r="I38" s="25"/>
      <c r="J38" s="25"/>
      <c r="K38" s="25"/>
      <c r="L38" s="25"/>
    </row>
    <row r="39" spans="1:12" ht="6" customHeight="1">
      <c r="A39" s="24"/>
      <c r="B39" s="25"/>
      <c r="C39" s="25"/>
      <c r="F39" s="25"/>
      <c r="G39" s="25"/>
      <c r="H39" s="25"/>
      <c r="I39" s="25"/>
      <c r="J39" s="25"/>
      <c r="K39" s="25"/>
      <c r="L39" s="25"/>
    </row>
    <row r="40" spans="1:12" ht="12.75">
      <c r="A40" s="24" t="s">
        <v>19</v>
      </c>
      <c r="B40" s="25"/>
      <c r="C40" s="25" t="s">
        <v>20</v>
      </c>
      <c r="F40" s="26"/>
      <c r="G40" s="25"/>
      <c r="H40" s="25"/>
      <c r="I40" s="25"/>
      <c r="J40" s="25"/>
      <c r="K40" s="25"/>
      <c r="L40" s="25"/>
    </row>
    <row r="41" spans="1:12" ht="12.75">
      <c r="A41" s="24"/>
      <c r="B41" s="25"/>
      <c r="C41" s="25" t="s">
        <v>21</v>
      </c>
      <c r="F41" s="26"/>
      <c r="G41" s="25"/>
      <c r="H41" s="25"/>
      <c r="I41" s="25"/>
      <c r="J41" s="25"/>
      <c r="K41" s="25"/>
      <c r="L41" s="25"/>
    </row>
    <row r="42" spans="1:12" ht="6" customHeight="1">
      <c r="A42" s="24"/>
      <c r="B42" s="25"/>
      <c r="C42" s="25"/>
      <c r="F42" s="26"/>
      <c r="G42" s="25"/>
      <c r="H42" s="25"/>
      <c r="I42" s="25"/>
      <c r="J42" s="25"/>
      <c r="K42" s="25"/>
      <c r="L42" s="25"/>
    </row>
    <row r="43" spans="1:12" ht="12.75">
      <c r="A43" s="24" t="s">
        <v>22</v>
      </c>
      <c r="B43" s="25"/>
      <c r="C43" s="25" t="s">
        <v>23</v>
      </c>
      <c r="F43" s="26"/>
      <c r="G43" s="25"/>
      <c r="H43" s="25"/>
      <c r="I43" s="25"/>
      <c r="J43" s="25"/>
      <c r="K43" s="25"/>
      <c r="L43" s="25"/>
    </row>
    <row r="44" spans="1:12" ht="6" customHeight="1">
      <c r="A44" s="24"/>
      <c r="B44" s="25"/>
      <c r="C44" s="25"/>
      <c r="D44" s="25"/>
      <c r="F44" s="26"/>
      <c r="G44" s="25"/>
      <c r="H44" s="25"/>
      <c r="I44" s="25"/>
      <c r="J44" s="25"/>
      <c r="K44" s="25"/>
      <c r="L44" s="25"/>
    </row>
    <row r="45" spans="1:12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  <c r="L45" s="33"/>
    </row>
    <row r="46" spans="1:12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  <c r="L46" s="33"/>
    </row>
    <row r="47" spans="1:12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  <c r="L47" s="33"/>
    </row>
    <row r="48" spans="1:12" ht="6" customHeight="1">
      <c r="A48" s="24"/>
      <c r="B48" s="25"/>
      <c r="C48" s="25"/>
      <c r="D48" s="25"/>
      <c r="F48" s="26"/>
      <c r="G48" s="25"/>
      <c r="H48" s="25"/>
      <c r="I48" s="25"/>
      <c r="J48" s="25"/>
      <c r="K48" s="25"/>
      <c r="L48" s="25"/>
    </row>
    <row r="49" spans="1:12" s="36" customFormat="1" ht="12.75">
      <c r="A49" s="32" t="s">
        <v>24</v>
      </c>
      <c r="B49" s="33"/>
      <c r="C49" s="33" t="s">
        <v>29</v>
      </c>
      <c r="D49" s="34"/>
      <c r="E49" s="35"/>
      <c r="F49" s="33"/>
      <c r="G49" s="33"/>
      <c r="H49" s="33"/>
      <c r="I49" s="33"/>
      <c r="J49" s="33"/>
      <c r="K49" s="33"/>
      <c r="L49" s="33"/>
    </row>
    <row r="50" spans="1:12" s="36" customFormat="1" ht="12.75">
      <c r="A50" s="32"/>
      <c r="B50" s="33"/>
      <c r="C50" s="33" t="s">
        <v>30</v>
      </c>
      <c r="D50" s="34"/>
      <c r="E50" s="35"/>
      <c r="F50" s="33"/>
      <c r="G50" s="33"/>
      <c r="H50" s="33"/>
      <c r="I50" s="33"/>
      <c r="J50" s="33"/>
      <c r="K50" s="33"/>
      <c r="L50" s="33"/>
    </row>
    <row r="51" spans="1:12" ht="6" customHeight="1">
      <c r="A51" s="24"/>
      <c r="B51" s="25"/>
      <c r="C51" s="25"/>
      <c r="F51" s="26"/>
      <c r="G51" s="25"/>
      <c r="H51" s="25"/>
      <c r="I51" s="25"/>
      <c r="J51" s="25"/>
      <c r="K51" s="25"/>
      <c r="L51" s="25"/>
    </row>
    <row r="52" spans="1:12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  <c r="L52" s="33"/>
    </row>
    <row r="53" spans="1:12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  <c r="L53" s="33"/>
    </row>
    <row r="54" spans="1:12" s="36" customFormat="1" ht="12.75">
      <c r="A54" s="37"/>
      <c r="B54" s="33"/>
      <c r="C54" s="33"/>
      <c r="D54" s="34"/>
      <c r="E54" s="35"/>
      <c r="F54" s="33"/>
      <c r="G54" s="33"/>
      <c r="H54" s="33"/>
      <c r="I54" s="33"/>
      <c r="J54" s="33"/>
      <c r="K54" s="33"/>
      <c r="L54" s="33"/>
    </row>
    <row r="55" spans="1:13" s="36" customFormat="1" ht="12.75">
      <c r="A55" s="32" t="s">
        <v>58</v>
      </c>
      <c r="B55" s="33"/>
      <c r="C55" s="33" t="s">
        <v>59</v>
      </c>
      <c r="E55" s="34"/>
      <c r="F55" s="35"/>
      <c r="G55" s="33"/>
      <c r="H55" s="33"/>
      <c r="I55" s="33"/>
      <c r="J55" s="33"/>
      <c r="K55" s="33"/>
      <c r="L55" s="33"/>
      <c r="M55" s="34"/>
    </row>
    <row r="56" spans="1:13" s="36" customFormat="1" ht="12.75">
      <c r="A56" s="37"/>
      <c r="B56" s="33"/>
      <c r="C56" s="33" t="s">
        <v>64</v>
      </c>
      <c r="E56" s="34"/>
      <c r="F56" s="35"/>
      <c r="G56" s="33"/>
      <c r="H56" s="33"/>
      <c r="I56" s="33"/>
      <c r="J56" s="33"/>
      <c r="K56" s="33"/>
      <c r="L56" s="33"/>
      <c r="M56" s="34"/>
    </row>
    <row r="57" spans="1:13" s="36" customFormat="1" ht="12.75">
      <c r="A57" s="37"/>
      <c r="B57" s="33"/>
      <c r="C57" s="33" t="s">
        <v>65</v>
      </c>
      <c r="E57" s="34"/>
      <c r="F57" s="35"/>
      <c r="G57" s="33"/>
      <c r="H57" s="33"/>
      <c r="I57" s="33"/>
      <c r="J57" s="33"/>
      <c r="K57" s="33"/>
      <c r="L57" s="33"/>
      <c r="M57" s="34"/>
    </row>
    <row r="58" spans="1:12" ht="12.75">
      <c r="A58" s="27"/>
      <c r="B58" s="28"/>
      <c r="C58" s="28"/>
      <c r="D58" s="28"/>
      <c r="E58" s="28"/>
      <c r="F58" s="29"/>
      <c r="G58" s="28"/>
      <c r="H58" s="28"/>
      <c r="I58" s="28"/>
      <c r="J58" s="28"/>
      <c r="K58" s="28"/>
      <c r="L58" s="28"/>
    </row>
    <row r="59" spans="1:13" s="22" customFormat="1" ht="12.75">
      <c r="A59" s="110" t="s">
        <v>25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</row>
    <row r="60" ht="12.75">
      <c r="A60" s="23"/>
    </row>
    <row r="61" spans="1:13" ht="13.5">
      <c r="A61" s="30"/>
      <c r="B61" s="41"/>
      <c r="D61" s="42" t="s">
        <v>4</v>
      </c>
      <c r="E61" s="113" t="s">
        <v>44</v>
      </c>
      <c r="F61" s="113"/>
      <c r="G61" s="113"/>
      <c r="H61" s="113"/>
      <c r="I61" s="113"/>
      <c r="J61" s="113"/>
      <c r="K61" s="42" t="s">
        <v>5</v>
      </c>
      <c r="L61" s="42" t="s">
        <v>38</v>
      </c>
      <c r="M61" s="42" t="s">
        <v>56</v>
      </c>
    </row>
    <row r="62" spans="1:13" ht="12.75">
      <c r="A62" s="31"/>
      <c r="B62" s="41"/>
      <c r="D62" s="43" t="s">
        <v>12</v>
      </c>
      <c r="E62" s="43" t="s">
        <v>45</v>
      </c>
      <c r="F62" s="43" t="s">
        <v>46</v>
      </c>
      <c r="G62" s="43" t="s">
        <v>47</v>
      </c>
      <c r="H62" s="44"/>
      <c r="I62" s="43" t="s">
        <v>49</v>
      </c>
      <c r="J62" s="43" t="s">
        <v>48</v>
      </c>
      <c r="K62" s="43" t="s">
        <v>14</v>
      </c>
      <c r="L62" s="43" t="s">
        <v>39</v>
      </c>
      <c r="M62" s="43" t="s">
        <v>57</v>
      </c>
    </row>
    <row r="63" spans="1:13" ht="12.75">
      <c r="A63" s="23" t="s">
        <v>60</v>
      </c>
      <c r="B63" s="38"/>
      <c r="D63" s="39">
        <v>0.45</v>
      </c>
      <c r="E63" s="39">
        <v>0.3</v>
      </c>
      <c r="F63" s="39">
        <v>0.023</v>
      </c>
      <c r="G63" s="39">
        <v>0.005</v>
      </c>
      <c r="H63" s="40"/>
      <c r="I63" s="58">
        <v>0.009</v>
      </c>
      <c r="J63" s="58">
        <v>0.013</v>
      </c>
      <c r="K63" s="39">
        <v>0.1</v>
      </c>
      <c r="L63" s="39">
        <v>0.1</v>
      </c>
      <c r="M63" s="39">
        <v>0</v>
      </c>
    </row>
    <row r="64" spans="2:12" ht="12.75">
      <c r="B64" s="38"/>
      <c r="D64" s="39"/>
      <c r="E64" s="39"/>
      <c r="F64" s="39"/>
      <c r="G64" s="39"/>
      <c r="H64" s="40"/>
      <c r="I64" s="39"/>
      <c r="J64" s="39"/>
      <c r="K64" s="39"/>
      <c r="L64" s="39"/>
    </row>
    <row r="65" spans="1:12" ht="12.75">
      <c r="A65" s="23" t="s">
        <v>61</v>
      </c>
      <c r="B65" s="38"/>
      <c r="D65" s="39"/>
      <c r="E65" s="39"/>
      <c r="F65" s="39"/>
      <c r="G65" s="39"/>
      <c r="H65" s="40"/>
      <c r="I65" s="39"/>
      <c r="J65" s="39"/>
      <c r="K65" s="39"/>
      <c r="L65" s="39"/>
    </row>
    <row r="66" spans="1:12" ht="12.75">
      <c r="A66" s="47" t="s">
        <v>66</v>
      </c>
      <c r="B66" s="38"/>
      <c r="D66" s="39"/>
      <c r="E66" s="39"/>
      <c r="F66" s="39"/>
      <c r="G66" s="39"/>
      <c r="H66" s="40"/>
      <c r="I66" s="39"/>
      <c r="J66" s="39"/>
      <c r="K66" s="39"/>
      <c r="L66" s="39"/>
    </row>
    <row r="67" spans="1:12" ht="12.75">
      <c r="A67" s="23"/>
      <c r="B67" s="38"/>
      <c r="D67" s="39"/>
      <c r="E67" s="39"/>
      <c r="F67" s="39"/>
      <c r="G67" s="39"/>
      <c r="H67" s="40"/>
      <c r="I67" s="39"/>
      <c r="J67" s="39"/>
      <c r="K67" s="39"/>
      <c r="L67" s="39"/>
    </row>
    <row r="68" spans="1:12" ht="12.75">
      <c r="A68" s="23" t="s">
        <v>62</v>
      </c>
      <c r="B68" s="38"/>
      <c r="D68" s="39"/>
      <c r="E68" s="39"/>
      <c r="F68" s="39"/>
      <c r="G68" s="39"/>
      <c r="H68" s="40"/>
      <c r="I68" s="39"/>
      <c r="J68" s="39"/>
      <c r="K68" s="39"/>
      <c r="L68" s="39"/>
    </row>
    <row r="69" ht="12.75">
      <c r="A69" s="23"/>
    </row>
    <row r="70" ht="12.75">
      <c r="A70" s="47" t="s">
        <v>67</v>
      </c>
    </row>
    <row r="71" ht="12.75">
      <c r="A71" s="23"/>
    </row>
    <row r="72" ht="12.75">
      <c r="A72" s="47" t="s">
        <v>53</v>
      </c>
    </row>
  </sheetData>
  <sheetProtection/>
  <mergeCells count="10">
    <mergeCell ref="I10:M10"/>
    <mergeCell ref="A31:M31"/>
    <mergeCell ref="A59:M59"/>
    <mergeCell ref="E61:J61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ignoredErrors>
    <ignoredError sqref="F16:G2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3">
      <selection activeCell="B27" sqref="B27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3" ht="18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2" ht="15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" customFormat="1" ht="15">
      <c r="A3" s="115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1" customFormat="1" ht="14.25">
      <c r="A5" s="116" t="s">
        <v>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0" t="s">
        <v>55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09" t="s">
        <v>0</v>
      </c>
      <c r="J10" s="109"/>
      <c r="K10" s="109"/>
      <c r="L10" s="109"/>
      <c r="M10" s="109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26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37</v>
      </c>
      <c r="K12" s="10" t="s">
        <v>5</v>
      </c>
      <c r="L12" s="10" t="s">
        <v>38</v>
      </c>
      <c r="M12" s="10" t="s">
        <v>56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39</v>
      </c>
      <c r="M13" s="8" t="s">
        <v>57</v>
      </c>
    </row>
    <row r="14" ht="12.75">
      <c r="M14" s="16"/>
    </row>
    <row r="15" spans="1:13" ht="12.75">
      <c r="A15" s="3">
        <v>42461</v>
      </c>
      <c r="M15" s="16"/>
    </row>
    <row r="16" spans="1:13" ht="12.75">
      <c r="A16" s="3">
        <v>42491</v>
      </c>
      <c r="M16" s="16"/>
    </row>
    <row r="17" spans="1:13" ht="12.75">
      <c r="A17" s="3">
        <v>42522</v>
      </c>
      <c r="M17" s="16"/>
    </row>
    <row r="18" spans="1:13" ht="12.75">
      <c r="A18" s="3">
        <v>42552</v>
      </c>
      <c r="M18" s="16"/>
    </row>
    <row r="19" spans="1:13" ht="12.75">
      <c r="A19" s="3">
        <v>42583</v>
      </c>
      <c r="M19" s="16"/>
    </row>
    <row r="20" spans="1:13" ht="12.75">
      <c r="A20" s="3">
        <v>42614</v>
      </c>
      <c r="M20" s="16"/>
    </row>
    <row r="21" spans="1:13" ht="12.75">
      <c r="A21" s="3">
        <v>42644</v>
      </c>
      <c r="B21" s="16">
        <v>281482343.5</v>
      </c>
      <c r="C21" s="16">
        <v>0</v>
      </c>
      <c r="D21" s="16">
        <f aca="true" t="shared" si="0" ref="D21:D26">+B21-C21-E21</f>
        <v>275464600.47</v>
      </c>
      <c r="E21" s="16">
        <v>6017743.03</v>
      </c>
      <c r="F21" s="17">
        <v>460</v>
      </c>
      <c r="G21" s="16">
        <f>+E21/F21/17</f>
        <v>769.5323567774936</v>
      </c>
      <c r="I21" s="16">
        <v>2707984.36</v>
      </c>
      <c r="J21" s="16">
        <v>2106210.06</v>
      </c>
      <c r="K21" s="16">
        <v>601774.3</v>
      </c>
      <c r="L21" s="16">
        <v>601774.3</v>
      </c>
      <c r="M21" s="16">
        <v>0</v>
      </c>
    </row>
    <row r="22" spans="1:13" ht="12.75">
      <c r="A22" s="3">
        <v>42675</v>
      </c>
      <c r="B22" s="16">
        <v>511620534</v>
      </c>
      <c r="C22" s="16">
        <v>0</v>
      </c>
      <c r="D22" s="16">
        <f t="shared" si="0"/>
        <v>499742727.69</v>
      </c>
      <c r="E22" s="16">
        <v>11877806.31</v>
      </c>
      <c r="F22" s="17">
        <v>460</v>
      </c>
      <c r="G22" s="16">
        <v>861</v>
      </c>
      <c r="I22" s="16">
        <v>5345012.84</v>
      </c>
      <c r="J22" s="16">
        <v>4157232.21</v>
      </c>
      <c r="K22" s="16">
        <v>1187780.63</v>
      </c>
      <c r="L22" s="16">
        <v>1187780.63</v>
      </c>
      <c r="M22" s="16">
        <v>0</v>
      </c>
    </row>
    <row r="23" spans="1:13" ht="12.75">
      <c r="A23" s="3">
        <v>42705</v>
      </c>
      <c r="B23" s="16">
        <v>516148866</v>
      </c>
      <c r="C23" s="16">
        <v>0</v>
      </c>
      <c r="D23" s="16">
        <f t="shared" si="0"/>
        <v>503970306.27</v>
      </c>
      <c r="E23" s="16">
        <v>12178559.73</v>
      </c>
      <c r="F23" s="17">
        <v>460</v>
      </c>
      <c r="G23" s="16">
        <v>854</v>
      </c>
      <c r="I23" s="16">
        <v>5480351.88</v>
      </c>
      <c r="J23" s="16">
        <v>4262495.91</v>
      </c>
      <c r="K23" s="16">
        <v>1217855.97</v>
      </c>
      <c r="L23" s="16">
        <v>1217855.97</v>
      </c>
      <c r="M23" s="16">
        <v>0</v>
      </c>
    </row>
    <row r="24" spans="1:13" ht="12.75">
      <c r="A24" s="3">
        <v>42736</v>
      </c>
      <c r="B24" s="16">
        <v>496900615</v>
      </c>
      <c r="C24" s="16">
        <v>0</v>
      </c>
      <c r="D24" s="16">
        <f t="shared" si="0"/>
        <v>484879140.17</v>
      </c>
      <c r="E24" s="16">
        <v>12021474.83</v>
      </c>
      <c r="F24" s="17">
        <v>460</v>
      </c>
      <c r="G24" s="16">
        <v>843</v>
      </c>
      <c r="I24" s="16">
        <v>5409663.67</v>
      </c>
      <c r="J24" s="16">
        <v>4207516.19</v>
      </c>
      <c r="K24" s="16">
        <v>1202147.48</v>
      </c>
      <c r="L24" s="16">
        <v>1202147.48</v>
      </c>
      <c r="M24" s="16">
        <v>0</v>
      </c>
    </row>
    <row r="25" spans="1:13" ht="12.75">
      <c r="A25" s="3">
        <v>42767</v>
      </c>
      <c r="B25" s="16">
        <v>462679614</v>
      </c>
      <c r="C25" s="16">
        <v>0</v>
      </c>
      <c r="D25" s="16">
        <f t="shared" si="0"/>
        <v>450637696.88</v>
      </c>
      <c r="E25" s="16">
        <v>12041917.12</v>
      </c>
      <c r="F25" s="17">
        <v>460</v>
      </c>
      <c r="G25" s="16">
        <v>935</v>
      </c>
      <c r="I25" s="16">
        <v>5418862.7</v>
      </c>
      <c r="J25" s="16">
        <v>4214670.99</v>
      </c>
      <c r="K25" s="16">
        <v>1204191.71</v>
      </c>
      <c r="L25" s="16">
        <v>1204191.71</v>
      </c>
      <c r="M25" s="16">
        <v>0</v>
      </c>
    </row>
    <row r="26" spans="1:13" ht="12.75">
      <c r="A26" s="3">
        <v>42795</v>
      </c>
      <c r="B26" s="16">
        <v>527525318.5</v>
      </c>
      <c r="C26" s="16">
        <v>0</v>
      </c>
      <c r="D26" s="16">
        <f t="shared" si="0"/>
        <v>513983459.5</v>
      </c>
      <c r="E26" s="16">
        <v>13541859</v>
      </c>
      <c r="F26" s="17">
        <v>460</v>
      </c>
      <c r="G26" s="16">
        <f>_xlfn.IFERROR((E26/F26/31)," ")</f>
        <v>949.6394810659186</v>
      </c>
      <c r="I26" s="16">
        <v>6093836.45</v>
      </c>
      <c r="J26" s="16">
        <v>4739651</v>
      </c>
      <c r="K26" s="16">
        <v>1354186</v>
      </c>
      <c r="L26" s="16">
        <v>1354185.86</v>
      </c>
      <c r="M26" s="16">
        <v>0</v>
      </c>
    </row>
    <row r="27" spans="1:13" ht="13.5" thickBot="1">
      <c r="A27" s="48" t="s">
        <v>15</v>
      </c>
      <c r="B27" s="49">
        <f>SUM(B15:B26)</f>
        <v>2796357291</v>
      </c>
      <c r="C27" s="49">
        <f>SUM(C15:C26)</f>
        <v>0</v>
      </c>
      <c r="D27" s="49">
        <f>SUM(D15:D26)</f>
        <v>2728677930.98</v>
      </c>
      <c r="E27" s="49">
        <f>SUM(E15:E26)</f>
        <v>67679360.02</v>
      </c>
      <c r="F27" s="51">
        <f>AVERAGE(F21:F26)</f>
        <v>460</v>
      </c>
      <c r="G27" s="49">
        <f>AVERAGE(G21:G26)</f>
        <v>868.6953063072355</v>
      </c>
      <c r="H27" s="50"/>
      <c r="I27" s="49">
        <f>SUM(I15:I26)</f>
        <v>30455711.9</v>
      </c>
      <c r="J27" s="49">
        <f>SUM(J15:J26)</f>
        <v>23687776.36</v>
      </c>
      <c r="K27" s="49">
        <f>SUM(K15:K26)</f>
        <v>6767936.09</v>
      </c>
      <c r="L27" s="49">
        <f>SUM(L15:L26)</f>
        <v>6767935.95</v>
      </c>
      <c r="M27" s="49">
        <f>SUM(M15:M26)</f>
        <v>0</v>
      </c>
    </row>
    <row r="28" spans="2:12" ht="10.5" customHeight="1" thickTop="1">
      <c r="B28" s="18"/>
      <c r="C28" s="18"/>
      <c r="D28" s="18"/>
      <c r="E28" s="18"/>
      <c r="I28" s="18"/>
      <c r="J28" s="18"/>
      <c r="K28" s="18"/>
      <c r="L28" s="18"/>
    </row>
    <row r="29" spans="1:13" s="21" customFormat="1" ht="12.75">
      <c r="A29" s="19"/>
      <c r="B29" s="20"/>
      <c r="C29" s="20">
        <f>C27/B27</f>
        <v>0</v>
      </c>
      <c r="D29" s="20">
        <f>D27/B27</f>
        <v>0.9757973130837665</v>
      </c>
      <c r="E29" s="20">
        <f>E27/B27</f>
        <v>0.024202686916233552</v>
      </c>
      <c r="I29" s="20">
        <f>I27/$E$27</f>
        <v>0.4499999983894647</v>
      </c>
      <c r="J29" s="20">
        <f>J27/$E$27</f>
        <v>0.35000000521577035</v>
      </c>
      <c r="K29" s="20">
        <f>K27/$E$27</f>
        <v>0.1000000013002487</v>
      </c>
      <c r="L29" s="20">
        <f>L27/$E$27</f>
        <v>0.09999999923167123</v>
      </c>
      <c r="M29" s="20">
        <f>M27/$E$27</f>
        <v>0</v>
      </c>
    </row>
    <row r="31" spans="1:13" s="22" customFormat="1" ht="12.75">
      <c r="A31" s="110" t="s">
        <v>16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ht="12.75">
      <c r="A32" s="23"/>
    </row>
    <row r="33" spans="1:12" s="36" customFormat="1" ht="12.75" customHeight="1">
      <c r="A33" s="32" t="s">
        <v>17</v>
      </c>
      <c r="B33" s="33"/>
      <c r="C33" s="45" t="s">
        <v>50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s="36" customFormat="1" ht="12.75" customHeight="1">
      <c r="A34" s="32"/>
      <c r="B34" s="33"/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6" customHeight="1">
      <c r="A35" s="24"/>
      <c r="B35" s="25"/>
      <c r="C35" s="25"/>
      <c r="F35" s="25"/>
      <c r="G35" s="25"/>
      <c r="H35" s="25"/>
      <c r="I35" s="25"/>
      <c r="J35" s="25"/>
      <c r="K35" s="25"/>
      <c r="L35" s="25"/>
    </row>
    <row r="36" spans="1:13" ht="12.75">
      <c r="A36" s="24" t="s">
        <v>52</v>
      </c>
      <c r="B36" s="25"/>
      <c r="C36" s="25" t="s">
        <v>43</v>
      </c>
      <c r="F36" s="25"/>
      <c r="G36" s="25"/>
      <c r="H36" s="25"/>
      <c r="I36" s="25"/>
      <c r="J36" s="25"/>
      <c r="K36" s="25"/>
      <c r="L36" s="25"/>
      <c r="M36" s="25"/>
    </row>
    <row r="37" spans="1:12" ht="6" customHeight="1">
      <c r="A37" s="24"/>
      <c r="B37" s="25"/>
      <c r="C37" s="25"/>
      <c r="F37" s="25"/>
      <c r="G37" s="25"/>
      <c r="H37" s="25"/>
      <c r="I37" s="25"/>
      <c r="J37" s="25"/>
      <c r="K37" s="25"/>
      <c r="L37" s="25"/>
    </row>
    <row r="38" spans="1:12" ht="12.75">
      <c r="A38" s="24" t="s">
        <v>18</v>
      </c>
      <c r="B38" s="25"/>
      <c r="C38" s="45" t="s">
        <v>54</v>
      </c>
      <c r="F38" s="25"/>
      <c r="G38" s="25"/>
      <c r="H38" s="25"/>
      <c r="I38" s="25"/>
      <c r="J38" s="25"/>
      <c r="K38" s="25"/>
      <c r="L38" s="25"/>
    </row>
    <row r="39" spans="1:12" ht="6" customHeight="1">
      <c r="A39" s="24"/>
      <c r="B39" s="25"/>
      <c r="C39" s="25"/>
      <c r="F39" s="25"/>
      <c r="G39" s="25"/>
      <c r="H39" s="25"/>
      <c r="I39" s="25"/>
      <c r="J39" s="25"/>
      <c r="K39" s="25"/>
      <c r="L39" s="25"/>
    </row>
    <row r="40" spans="1:12" ht="12.75">
      <c r="A40" s="24" t="s">
        <v>19</v>
      </c>
      <c r="B40" s="25"/>
      <c r="C40" s="25" t="s">
        <v>20</v>
      </c>
      <c r="F40" s="26"/>
      <c r="G40" s="25"/>
      <c r="H40" s="25"/>
      <c r="I40" s="25"/>
      <c r="J40" s="25"/>
      <c r="K40" s="25"/>
      <c r="L40" s="25"/>
    </row>
    <row r="41" spans="1:12" ht="12.75">
      <c r="A41" s="24"/>
      <c r="B41" s="25"/>
      <c r="C41" s="25" t="s">
        <v>21</v>
      </c>
      <c r="F41" s="26"/>
      <c r="G41" s="25"/>
      <c r="H41" s="25"/>
      <c r="I41" s="25"/>
      <c r="J41" s="25"/>
      <c r="K41" s="25"/>
      <c r="L41" s="25"/>
    </row>
    <row r="42" spans="1:12" ht="6" customHeight="1">
      <c r="A42" s="24"/>
      <c r="B42" s="25"/>
      <c r="C42" s="25"/>
      <c r="F42" s="26"/>
      <c r="G42" s="25"/>
      <c r="H42" s="25"/>
      <c r="I42" s="25"/>
      <c r="J42" s="25"/>
      <c r="K42" s="25"/>
      <c r="L42" s="25"/>
    </row>
    <row r="43" spans="1:12" ht="12.75">
      <c r="A43" s="24" t="s">
        <v>22</v>
      </c>
      <c r="B43" s="25"/>
      <c r="C43" s="25" t="s">
        <v>23</v>
      </c>
      <c r="F43" s="26"/>
      <c r="G43" s="25"/>
      <c r="H43" s="25"/>
      <c r="I43" s="25"/>
      <c r="J43" s="25"/>
      <c r="K43" s="25"/>
      <c r="L43" s="25"/>
    </row>
    <row r="44" spans="1:12" ht="6" customHeight="1">
      <c r="A44" s="24"/>
      <c r="B44" s="25"/>
      <c r="C44" s="25"/>
      <c r="D44" s="25"/>
      <c r="F44" s="26"/>
      <c r="G44" s="25"/>
      <c r="H44" s="25"/>
      <c r="I44" s="25"/>
      <c r="J44" s="25"/>
      <c r="K44" s="25"/>
      <c r="L44" s="25"/>
    </row>
    <row r="45" spans="1:12" s="36" customFormat="1" ht="12.75">
      <c r="A45" s="32" t="s">
        <v>27</v>
      </c>
      <c r="B45" s="33"/>
      <c r="C45" s="33" t="s">
        <v>28</v>
      </c>
      <c r="D45" s="34"/>
      <c r="E45" s="35"/>
      <c r="F45" s="33"/>
      <c r="G45" s="33"/>
      <c r="H45" s="33"/>
      <c r="I45" s="33"/>
      <c r="J45" s="33"/>
      <c r="K45" s="33"/>
      <c r="L45" s="33"/>
    </row>
    <row r="46" spans="1:12" s="36" customFormat="1" ht="12.75">
      <c r="A46" s="32"/>
      <c r="B46" s="33"/>
      <c r="C46" s="33" t="s">
        <v>40</v>
      </c>
      <c r="D46" s="34"/>
      <c r="E46" s="35"/>
      <c r="F46" s="33"/>
      <c r="G46" s="33"/>
      <c r="H46" s="33"/>
      <c r="I46" s="33"/>
      <c r="J46" s="33"/>
      <c r="K46" s="33"/>
      <c r="L46" s="33"/>
    </row>
    <row r="47" spans="1:12" s="36" customFormat="1" ht="12.75">
      <c r="A47" s="32"/>
      <c r="B47" s="33"/>
      <c r="C47" s="33" t="s">
        <v>41</v>
      </c>
      <c r="D47" s="34"/>
      <c r="E47" s="35"/>
      <c r="F47" s="33"/>
      <c r="G47" s="33"/>
      <c r="H47" s="33"/>
      <c r="I47" s="33"/>
      <c r="J47" s="33"/>
      <c r="K47" s="33"/>
      <c r="L47" s="33"/>
    </row>
    <row r="48" spans="1:12" ht="6" customHeight="1">
      <c r="A48" s="24"/>
      <c r="B48" s="25"/>
      <c r="C48" s="25"/>
      <c r="D48" s="25"/>
      <c r="F48" s="26"/>
      <c r="G48" s="25"/>
      <c r="H48" s="25"/>
      <c r="I48" s="25"/>
      <c r="J48" s="25"/>
      <c r="K48" s="25"/>
      <c r="L48" s="25"/>
    </row>
    <row r="49" spans="1:12" s="36" customFormat="1" ht="12.75">
      <c r="A49" s="32" t="s">
        <v>24</v>
      </c>
      <c r="B49" s="33"/>
      <c r="C49" s="33" t="s">
        <v>29</v>
      </c>
      <c r="D49" s="34"/>
      <c r="E49" s="35"/>
      <c r="F49" s="33"/>
      <c r="G49" s="33"/>
      <c r="H49" s="33"/>
      <c r="I49" s="33"/>
      <c r="J49" s="33"/>
      <c r="K49" s="33"/>
      <c r="L49" s="33"/>
    </row>
    <row r="50" spans="1:12" s="36" customFormat="1" ht="12.75">
      <c r="A50" s="32"/>
      <c r="B50" s="33"/>
      <c r="C50" s="33" t="s">
        <v>30</v>
      </c>
      <c r="D50" s="34"/>
      <c r="E50" s="35"/>
      <c r="F50" s="33"/>
      <c r="G50" s="33"/>
      <c r="H50" s="33"/>
      <c r="I50" s="33"/>
      <c r="J50" s="33"/>
      <c r="K50" s="33"/>
      <c r="L50" s="33"/>
    </row>
    <row r="51" spans="1:12" ht="6" customHeight="1">
      <c r="A51" s="24"/>
      <c r="B51" s="25"/>
      <c r="C51" s="25"/>
      <c r="F51" s="26"/>
      <c r="G51" s="25"/>
      <c r="H51" s="25"/>
      <c r="I51" s="25"/>
      <c r="J51" s="25"/>
      <c r="K51" s="25"/>
      <c r="L51" s="25"/>
    </row>
    <row r="52" spans="1:12" s="36" customFormat="1" ht="12.75">
      <c r="A52" s="32" t="s">
        <v>42</v>
      </c>
      <c r="B52" s="33"/>
      <c r="C52" s="33" t="s">
        <v>31</v>
      </c>
      <c r="D52" s="34"/>
      <c r="E52" s="35"/>
      <c r="F52" s="33"/>
      <c r="G52" s="33"/>
      <c r="H52" s="33"/>
      <c r="I52" s="33"/>
      <c r="J52" s="33"/>
      <c r="K52" s="33"/>
      <c r="L52" s="33"/>
    </row>
    <row r="53" spans="1:12" s="36" customFormat="1" ht="12.75">
      <c r="A53" s="37"/>
      <c r="B53" s="33"/>
      <c r="C53" s="33" t="s">
        <v>32</v>
      </c>
      <c r="D53" s="34"/>
      <c r="E53" s="35"/>
      <c r="F53" s="33"/>
      <c r="G53" s="33"/>
      <c r="H53" s="33"/>
      <c r="I53" s="33"/>
      <c r="J53" s="33"/>
      <c r="K53" s="33"/>
      <c r="L53" s="33"/>
    </row>
    <row r="54" spans="1:12" s="36" customFormat="1" ht="12.75">
      <c r="A54" s="37"/>
      <c r="B54" s="33"/>
      <c r="C54" s="33"/>
      <c r="D54" s="34"/>
      <c r="E54" s="35"/>
      <c r="F54" s="33"/>
      <c r="G54" s="33"/>
      <c r="H54" s="33"/>
      <c r="I54" s="33"/>
      <c r="J54" s="33"/>
      <c r="K54" s="33"/>
      <c r="L54" s="33"/>
    </row>
    <row r="55" spans="1:13" s="36" customFormat="1" ht="12.75">
      <c r="A55" s="32" t="s">
        <v>58</v>
      </c>
      <c r="B55" s="33"/>
      <c r="C55" s="33" t="s">
        <v>59</v>
      </c>
      <c r="E55" s="34"/>
      <c r="F55" s="35"/>
      <c r="G55" s="33"/>
      <c r="H55" s="33"/>
      <c r="I55" s="33"/>
      <c r="J55" s="33"/>
      <c r="K55" s="33"/>
      <c r="L55" s="33"/>
      <c r="M55" s="34"/>
    </row>
    <row r="56" spans="1:13" s="36" customFormat="1" ht="12.75">
      <c r="A56" s="37"/>
      <c r="B56" s="33"/>
      <c r="C56" s="33" t="s">
        <v>64</v>
      </c>
      <c r="E56" s="34"/>
      <c r="F56" s="35"/>
      <c r="G56" s="33"/>
      <c r="H56" s="33"/>
      <c r="I56" s="33"/>
      <c r="J56" s="33"/>
      <c r="K56" s="33"/>
      <c r="L56" s="33"/>
      <c r="M56" s="34"/>
    </row>
    <row r="57" spans="1:13" s="36" customFormat="1" ht="12.75">
      <c r="A57" s="37"/>
      <c r="B57" s="33"/>
      <c r="C57" s="33" t="s">
        <v>65</v>
      </c>
      <c r="E57" s="34"/>
      <c r="F57" s="35"/>
      <c r="G57" s="33"/>
      <c r="H57" s="33"/>
      <c r="I57" s="33"/>
      <c r="J57" s="33"/>
      <c r="K57" s="33"/>
      <c r="L57" s="33"/>
      <c r="M57" s="34"/>
    </row>
    <row r="58" spans="1:12" ht="12.75">
      <c r="A58" s="27"/>
      <c r="B58" s="28"/>
      <c r="C58" s="28"/>
      <c r="D58" s="28"/>
      <c r="E58" s="28"/>
      <c r="F58" s="29"/>
      <c r="G58" s="28"/>
      <c r="H58" s="28"/>
      <c r="I58" s="28"/>
      <c r="J58" s="28"/>
      <c r="K58" s="28"/>
      <c r="L58" s="28"/>
    </row>
    <row r="59" spans="1:13" s="22" customFormat="1" ht="12.75">
      <c r="A59" s="110" t="s">
        <v>25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</row>
    <row r="60" ht="12.75">
      <c r="A60" s="23"/>
    </row>
    <row r="61" spans="1:13" ht="13.5">
      <c r="A61" s="30"/>
      <c r="B61" s="41"/>
      <c r="D61" s="42" t="s">
        <v>4</v>
      </c>
      <c r="E61" s="113" t="s">
        <v>44</v>
      </c>
      <c r="F61" s="113"/>
      <c r="G61" s="113"/>
      <c r="H61" s="113"/>
      <c r="I61" s="113"/>
      <c r="J61" s="113"/>
      <c r="K61" s="42" t="s">
        <v>5</v>
      </c>
      <c r="L61" s="42" t="s">
        <v>38</v>
      </c>
      <c r="M61" s="42" t="s">
        <v>56</v>
      </c>
    </row>
    <row r="62" spans="1:13" ht="12.75">
      <c r="A62" s="31"/>
      <c r="B62" s="41"/>
      <c r="D62" s="43" t="s">
        <v>12</v>
      </c>
      <c r="E62" s="43" t="s">
        <v>45</v>
      </c>
      <c r="F62" s="43" t="s">
        <v>46</v>
      </c>
      <c r="G62" s="43" t="s">
        <v>47</v>
      </c>
      <c r="H62" s="44"/>
      <c r="I62" s="43" t="s">
        <v>49</v>
      </c>
      <c r="J62" s="43" t="s">
        <v>48</v>
      </c>
      <c r="K62" s="43" t="s">
        <v>14</v>
      </c>
      <c r="L62" s="43" t="s">
        <v>39</v>
      </c>
      <c r="M62" s="43" t="s">
        <v>57</v>
      </c>
    </row>
    <row r="63" spans="1:13" ht="12.75">
      <c r="A63" s="23" t="s">
        <v>60</v>
      </c>
      <c r="B63" s="38"/>
      <c r="D63" s="39">
        <v>0.45</v>
      </c>
      <c r="E63" s="39">
        <v>0.3</v>
      </c>
      <c r="F63" s="39">
        <v>0.023</v>
      </c>
      <c r="G63" s="39">
        <v>0.005</v>
      </c>
      <c r="H63" s="40"/>
      <c r="I63" s="58">
        <v>0.009</v>
      </c>
      <c r="J63" s="58">
        <v>0.013</v>
      </c>
      <c r="K63" s="39">
        <v>0.1</v>
      </c>
      <c r="L63" s="39">
        <v>0.1</v>
      </c>
      <c r="M63" s="39">
        <v>0</v>
      </c>
    </row>
    <row r="64" spans="2:12" ht="12.75">
      <c r="B64" s="38"/>
      <c r="D64" s="39"/>
      <c r="E64" s="39"/>
      <c r="F64" s="39"/>
      <c r="G64" s="39"/>
      <c r="H64" s="40"/>
      <c r="I64" s="39"/>
      <c r="J64" s="39"/>
      <c r="K64" s="39"/>
      <c r="L64" s="39"/>
    </row>
    <row r="65" spans="1:12" ht="12.75">
      <c r="A65" s="23" t="s">
        <v>61</v>
      </c>
      <c r="B65" s="38"/>
      <c r="D65" s="39"/>
      <c r="E65" s="39"/>
      <c r="F65" s="39"/>
      <c r="G65" s="39"/>
      <c r="H65" s="40"/>
      <c r="I65" s="39"/>
      <c r="J65" s="39"/>
      <c r="K65" s="39"/>
      <c r="L65" s="39"/>
    </row>
    <row r="66" spans="1:12" ht="12.75">
      <c r="A66" s="47" t="s">
        <v>66</v>
      </c>
      <c r="B66" s="38"/>
      <c r="D66" s="39"/>
      <c r="E66" s="39"/>
      <c r="F66" s="39"/>
      <c r="G66" s="39"/>
      <c r="H66" s="40"/>
      <c r="I66" s="39"/>
      <c r="J66" s="39"/>
      <c r="K66" s="39"/>
      <c r="L66" s="39"/>
    </row>
    <row r="67" spans="1:12" ht="12.75">
      <c r="A67" s="23"/>
      <c r="B67" s="38"/>
      <c r="D67" s="39"/>
      <c r="E67" s="39"/>
      <c r="F67" s="39"/>
      <c r="G67" s="39"/>
      <c r="H67" s="40"/>
      <c r="I67" s="39"/>
      <c r="J67" s="39"/>
      <c r="K67" s="39"/>
      <c r="L67" s="39"/>
    </row>
    <row r="68" spans="1:12" ht="12.75">
      <c r="A68" s="23" t="s">
        <v>62</v>
      </c>
      <c r="B68" s="38"/>
      <c r="D68" s="39"/>
      <c r="E68" s="39"/>
      <c r="F68" s="39"/>
      <c r="G68" s="39"/>
      <c r="H68" s="40"/>
      <c r="I68" s="39"/>
      <c r="J68" s="39"/>
      <c r="K68" s="39"/>
      <c r="L68" s="39"/>
    </row>
    <row r="69" ht="12.75">
      <c r="A69" s="23"/>
    </row>
    <row r="70" ht="12.75">
      <c r="A70" s="47" t="s">
        <v>67</v>
      </c>
    </row>
    <row r="71" ht="12.75">
      <c r="A71" s="23"/>
    </row>
    <row r="72" ht="12.75">
      <c r="A72" s="47" t="s">
        <v>53</v>
      </c>
    </row>
  </sheetData>
  <sheetProtection/>
  <mergeCells count="10">
    <mergeCell ref="A31:M31"/>
    <mergeCell ref="I10:M10"/>
    <mergeCell ref="A8:M8"/>
    <mergeCell ref="A1:M1"/>
    <mergeCell ref="A59:M59"/>
    <mergeCell ref="E61:J61"/>
    <mergeCell ref="A2:L2"/>
    <mergeCell ref="A3:L3"/>
    <mergeCell ref="A4:L4"/>
    <mergeCell ref="A5:L5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2024-05-06T16:52:11Z</cp:lastPrinted>
  <dcterms:created xsi:type="dcterms:W3CDTF">2007-10-10T21:03:54Z</dcterms:created>
  <dcterms:modified xsi:type="dcterms:W3CDTF">2024-08-05T19:31:28Z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